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REV" sheetId="1" r:id="rId1"/>
    <sheet name="EXP" sheetId="2" r:id="rId2"/>
    <sheet name="CAP" sheetId="3" r:id="rId3"/>
    <sheet name="SDBIP" sheetId="4" r:id="rId4"/>
    <sheet name="ROLL" sheetId="5" r:id="rId5"/>
    <sheet name="INV" sheetId="6" r:id="rId6"/>
    <sheet name="Don_t print this page_ Peter" sheetId="7" r:id="rId7"/>
  </sheets>
  <externalReferences>
    <externalReference r:id="rId10"/>
  </externalReferences>
  <definedNames>
    <definedName name="_xlnm.Print_Area" localSheetId="2">'CAP'!$A$1:$E$40</definedName>
    <definedName name="_xlnm.Print_Area" localSheetId="5">'INV'!$A$1:$J$52</definedName>
    <definedName name="_xlnm.Print_Area" localSheetId="3">'SDBIP'!$A$1:$CB$44</definedName>
    <definedName name="_xlnm.Print_Titles" localSheetId="3">'SDBIP'!$A:$B,'SDBIP'!$5:$9</definedName>
  </definedNames>
  <calcPr fullCalcOnLoad="1"/>
</workbook>
</file>

<file path=xl/sharedStrings.xml><?xml version="1.0" encoding="utf-8"?>
<sst xmlns="http://schemas.openxmlformats.org/spreadsheetml/2006/main" count="716" uniqueCount="298">
  <si>
    <t>ANNEXURE A</t>
  </si>
  <si>
    <t>Actual revenue per revenue source</t>
  </si>
  <si>
    <t>REVENUE SOURCE</t>
  </si>
  <si>
    <t>BUDGETED REVENUE</t>
  </si>
  <si>
    <t>YTD ACTUAL REVENUE</t>
  </si>
  <si>
    <t>%     ACTUAL REVENUE</t>
  </si>
  <si>
    <t>VARIANCE</t>
  </si>
  <si>
    <t>REASON FOR VARIANCE</t>
  </si>
  <si>
    <t xml:space="preserve"> </t>
  </si>
  <si>
    <t>(E)</t>
  </si>
  <si>
    <t>(F)</t>
  </si>
  <si>
    <t>(E-F)</t>
  </si>
  <si>
    <t>GRANTS</t>
  </si>
  <si>
    <t>Equitable Share</t>
  </si>
  <si>
    <t>MSIG Grant</t>
  </si>
  <si>
    <t>Refer to exp 1</t>
  </si>
  <si>
    <t>Municipal Finance Grant</t>
  </si>
  <si>
    <t>Refer to exp 2</t>
  </si>
  <si>
    <t>Municipal Health Grant</t>
  </si>
  <si>
    <t>Refer to exp 3</t>
  </si>
  <si>
    <t>OWN REVENUE</t>
  </si>
  <si>
    <t>Interest - Current Account</t>
  </si>
  <si>
    <t>Interest - External Investment</t>
  </si>
  <si>
    <t>Abbatoir - Income</t>
  </si>
  <si>
    <t>Fire Fighting</t>
  </si>
  <si>
    <t>Other income</t>
  </si>
  <si>
    <t>TOTAL INCOME</t>
  </si>
  <si>
    <t>ANNEXURE B</t>
  </si>
  <si>
    <t>Actual expenditure per vote (department)</t>
  </si>
  <si>
    <t>DEPARTMENTS</t>
  </si>
  <si>
    <t>OPERATING BUDGET  EXP</t>
  </si>
  <si>
    <t>ACTUAL OPERATING   EXP</t>
  </si>
  <si>
    <t>BASELINE</t>
  </si>
  <si>
    <t>% OF ACTUAL EXP SPENT</t>
  </si>
  <si>
    <t>(E -F)</t>
  </si>
  <si>
    <t>Budget &amp; Treasury Office</t>
  </si>
  <si>
    <t>Salary and Allowances</t>
  </si>
  <si>
    <t>General Expenditure</t>
  </si>
  <si>
    <t>Repairs and Maintenance</t>
  </si>
  <si>
    <t>Capital Outlay</t>
  </si>
  <si>
    <t>Contributions to Funds</t>
  </si>
  <si>
    <t>Office of the Municipal Manager</t>
  </si>
  <si>
    <t>Corporate Support &amp; Shared Services</t>
  </si>
  <si>
    <t>Planning and Economic Development</t>
  </si>
  <si>
    <t>General Expenses</t>
  </si>
  <si>
    <t>Infrastructure Development</t>
  </si>
  <si>
    <t>Office of the Executive Mayor</t>
  </si>
  <si>
    <t>Councillors Salaries</t>
  </si>
  <si>
    <t>Social Development &amp; Community Services</t>
  </si>
  <si>
    <t>Bela Bela</t>
  </si>
  <si>
    <t>Lephalale</t>
  </si>
  <si>
    <t>Modimolle</t>
  </si>
  <si>
    <t>Mogalakwena</t>
  </si>
  <si>
    <t>Mookgophong</t>
  </si>
  <si>
    <t>Thabazimbi</t>
  </si>
  <si>
    <t>Municipal Environmental Health</t>
  </si>
  <si>
    <t>Abattoir</t>
  </si>
  <si>
    <t>TOTAL EXPENDITURE</t>
  </si>
  <si>
    <t>ANNEXURE C</t>
  </si>
  <si>
    <t>Actual Capital Expenditure</t>
  </si>
  <si>
    <t>IDP PRIORITY</t>
  </si>
  <si>
    <t>DESCRIPTION</t>
  </si>
  <si>
    <t>BUDGET</t>
  </si>
  <si>
    <t>YTD ACTUAL EXPEND</t>
  </si>
  <si>
    <t>% ACTUAL SPENT</t>
  </si>
  <si>
    <t>NO 2</t>
  </si>
  <si>
    <t>NO 3</t>
  </si>
  <si>
    <t>Economic development</t>
  </si>
  <si>
    <t>Transport</t>
  </si>
  <si>
    <t>NO 5</t>
  </si>
  <si>
    <t>Land</t>
  </si>
  <si>
    <t>NO 6</t>
  </si>
  <si>
    <t>NO 7</t>
  </si>
  <si>
    <t>Disaster Management</t>
  </si>
  <si>
    <t>NO 10</t>
  </si>
  <si>
    <t>Institutional Development</t>
  </si>
  <si>
    <t>Sports, Arts and Culture</t>
  </si>
  <si>
    <t>TOTAL</t>
  </si>
  <si>
    <t>ANNEXURE D</t>
  </si>
  <si>
    <t>Waterberg District Municipality - Monthly Projections of Expenditure by Vote and Revenue by Source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</si>
  <si>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</si>
  <si>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</si>
  <si>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</si>
  <si>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</si>
  <si>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</si>
  <si>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</si>
  <si>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</si>
  <si>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</si>
  <si>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</si>
  <si>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</si>
  <si>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</si>
  <si>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</si>
  <si>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Projection</t>
  </si>
  <si>
    <t>2008 / 2009</t>
  </si>
  <si>
    <t>Proj Opex</t>
  </si>
  <si>
    <t>Act Opex</t>
  </si>
  <si>
    <t>Proj IDP</t>
  </si>
  <si>
    <t>Act Capex</t>
  </si>
  <si>
    <t>Proj Rev</t>
  </si>
  <si>
    <t>Act Rev</t>
  </si>
  <si>
    <t>Opex</t>
  </si>
  <si>
    <t>IDP</t>
  </si>
  <si>
    <t>Rev</t>
  </si>
  <si>
    <t>Vote Nr</t>
  </si>
  <si>
    <t>Monthly Projections</t>
  </si>
  <si>
    <t xml:space="preserve">R </t>
  </si>
  <si>
    <t>R</t>
  </si>
  <si>
    <t>Expenditure and Revenue by Vote</t>
  </si>
  <si>
    <t>001</t>
  </si>
  <si>
    <t>Office of the Chief Financial Officer</t>
  </si>
  <si>
    <t>002</t>
  </si>
  <si>
    <t>003</t>
  </si>
  <si>
    <t>004</t>
  </si>
  <si>
    <t>005</t>
  </si>
  <si>
    <t>006</t>
  </si>
  <si>
    <t>007</t>
  </si>
  <si>
    <t>008</t>
  </si>
  <si>
    <t>009</t>
  </si>
  <si>
    <t>Environmentatl Health</t>
  </si>
  <si>
    <t>020</t>
  </si>
  <si>
    <t>Total By Vote (Balanced to Cash Flow)</t>
  </si>
  <si>
    <t>Revenue by Source</t>
  </si>
  <si>
    <t>Total</t>
  </si>
  <si>
    <t>Proj Capex</t>
  </si>
  <si>
    <t>Capex</t>
  </si>
  <si>
    <t>Service charges - Abattoir</t>
  </si>
  <si>
    <t>Interest on Investments</t>
  </si>
  <si>
    <t>Interest on Outstanding debts - Abattoir</t>
  </si>
  <si>
    <t>FMG</t>
  </si>
  <si>
    <t>MSIG</t>
  </si>
  <si>
    <t>Total Revenue by Source (Balanced to Cash Flow)</t>
  </si>
  <si>
    <t>ANNEXURE E</t>
  </si>
  <si>
    <t>Actual Capital Expenditure Roll Over</t>
  </si>
  <si>
    <t>SPENT</t>
  </si>
  <si>
    <t>Community Participation</t>
  </si>
  <si>
    <t xml:space="preserve">Sports,Arts and Culture </t>
  </si>
  <si>
    <t>BANK</t>
  </si>
  <si>
    <t>ACC NO</t>
  </si>
  <si>
    <t>INTEREST RATES</t>
  </si>
  <si>
    <t>MATURITY DATE</t>
  </si>
  <si>
    <t>INTEREST EARNED</t>
  </si>
  <si>
    <t>COMMENTS</t>
  </si>
  <si>
    <t>ABSA</t>
  </si>
  <si>
    <t>Interest paid into current account.</t>
  </si>
  <si>
    <t>90 Days</t>
  </si>
  <si>
    <t>FNB</t>
  </si>
  <si>
    <t>NEDBANK</t>
  </si>
  <si>
    <t>6 Months</t>
  </si>
  <si>
    <t>STANDARD</t>
  </si>
  <si>
    <t>Call</t>
  </si>
  <si>
    <t>INVESTEC</t>
  </si>
  <si>
    <t>PROJECT STATUS REPORT - ROLLED OVER PROJECTS</t>
  </si>
  <si>
    <t>PROJ NO</t>
  </si>
  <si>
    <t>PROJECT NAME</t>
  </si>
  <si>
    <t>PROJ YEAR</t>
  </si>
  <si>
    <t>BUDGETED AMOUNT</t>
  </si>
  <si>
    <t>PAID OUT AMOUNT</t>
  </si>
  <si>
    <t>SPENT   CURRENT F/Y</t>
  </si>
  <si>
    <t>REMAINING</t>
  </si>
  <si>
    <t>DISASTER MANAGEMENT</t>
  </si>
  <si>
    <t>ECONOMIC DEVELOPMENT</t>
  </si>
  <si>
    <t>UE029</t>
  </si>
  <si>
    <t>UPGRADE AND MANAGEMENT OF ABATTOIR</t>
  </si>
  <si>
    <t>FEASIBILITY STUDY OF WILDLIFE CENTRE</t>
  </si>
  <si>
    <t>UE038</t>
  </si>
  <si>
    <t>TOURISM DEVELOPMENT</t>
  </si>
  <si>
    <t>LAND</t>
  </si>
  <si>
    <t>COMMUNITY PARTICIPATION AND COMMUNICATION</t>
  </si>
  <si>
    <t>CO009</t>
  </si>
  <si>
    <t>COMMUNICATION</t>
  </si>
  <si>
    <t>CO011</t>
  </si>
  <si>
    <t>INSTITUTIONAL DEVELOPMENT</t>
  </si>
  <si>
    <t>IN017</t>
  </si>
  <si>
    <t>PROCUREMENT OF MOVABLE ASSETS</t>
  </si>
  <si>
    <t>IN021</t>
  </si>
  <si>
    <t>SPORTS,ARTS AND CULTURE</t>
  </si>
  <si>
    <t>SC007</t>
  </si>
  <si>
    <t>CO-ORDINATE ANNUAL ARTS AND CULTURAL ACTIVITIES</t>
  </si>
  <si>
    <t xml:space="preserve">  </t>
  </si>
  <si>
    <t>PERFORMANCE AGAINST SDBIP</t>
  </si>
  <si>
    <t>YTD SDBIP BASELINE</t>
  </si>
  <si>
    <t>IN027</t>
  </si>
  <si>
    <t>IFMS</t>
  </si>
  <si>
    <t>1400198080450/DA869021</t>
  </si>
  <si>
    <t xml:space="preserve">Interest paid into current account. </t>
  </si>
  <si>
    <t>60 Days</t>
  </si>
  <si>
    <t>1400198080450/DA860434</t>
  </si>
  <si>
    <t>NO 1</t>
  </si>
  <si>
    <t>Economic Development &amp; Tourism</t>
  </si>
  <si>
    <t>Municipal Support &amp; Institutional Development</t>
  </si>
  <si>
    <t>NO 12</t>
  </si>
  <si>
    <t>Community Participation And Good Governance</t>
  </si>
  <si>
    <t>2008 &amp; 2009</t>
  </si>
  <si>
    <t>UE 034</t>
  </si>
  <si>
    <t>LA008</t>
  </si>
  <si>
    <t>CONVENCING</t>
  </si>
  <si>
    <t>2008&amp; 2009</t>
  </si>
  <si>
    <t>UNSPENT           30 JUNE 2009</t>
  </si>
  <si>
    <t>Equitable Shares</t>
  </si>
  <si>
    <t>NO 4</t>
  </si>
  <si>
    <t>Municipal Roads &amp; Storm Water</t>
  </si>
  <si>
    <t>NO 8</t>
  </si>
  <si>
    <t>NO 9</t>
  </si>
  <si>
    <t>NO 11</t>
  </si>
  <si>
    <t>NO 13</t>
  </si>
  <si>
    <t>Safety &amp; Security</t>
  </si>
  <si>
    <t>Electricity</t>
  </si>
  <si>
    <t>DM-14</t>
  </si>
  <si>
    <t>DM-21</t>
  </si>
  <si>
    <t>Thabazimbi - Fire Truck</t>
  </si>
  <si>
    <t>Disaster Relief Tents/Wendy Houses</t>
  </si>
  <si>
    <t>UE-41</t>
  </si>
  <si>
    <t>Waterberg Economic Development Agency</t>
  </si>
  <si>
    <t>UE-42</t>
  </si>
  <si>
    <t>Signage</t>
  </si>
  <si>
    <t>UE-43</t>
  </si>
  <si>
    <t>Modimolle &amp; Bela Bela Security Cameras</t>
  </si>
  <si>
    <t>UE-44</t>
  </si>
  <si>
    <t>2010 World Cup Coordinating Committe</t>
  </si>
  <si>
    <t>UE-45</t>
  </si>
  <si>
    <t>Biosphere Reserve Development Strategy</t>
  </si>
  <si>
    <t>2009&amp;2010</t>
  </si>
  <si>
    <t>UE-46</t>
  </si>
  <si>
    <t>Skills Development strategy &amp; SMME's</t>
  </si>
  <si>
    <t>LA011</t>
  </si>
  <si>
    <t>Implementation of WDM Land Use Policy</t>
  </si>
  <si>
    <t>C0014</t>
  </si>
  <si>
    <t>LEARNING AND SHARING</t>
  </si>
  <si>
    <t>C0-17</t>
  </si>
  <si>
    <t>CO-18</t>
  </si>
  <si>
    <t>CO-20</t>
  </si>
  <si>
    <t>CO-22</t>
  </si>
  <si>
    <t>CO-24</t>
  </si>
  <si>
    <t>HIV/AIDS</t>
  </si>
  <si>
    <t>PEOPLE WITH DISABILITY</t>
  </si>
  <si>
    <t>ANTI-FRAUD HOTLINE</t>
  </si>
  <si>
    <t>GOLF &amp; LIFE SKILLS DEVELOPMENT FOR YOUTH</t>
  </si>
  <si>
    <t>SERVICE DELIVERY SUMMIT</t>
  </si>
  <si>
    <t>2008&amp;2009</t>
  </si>
  <si>
    <t>CO-12</t>
  </si>
  <si>
    <t>DISTRICT PUBLIC PARTICIPATION - EMO</t>
  </si>
  <si>
    <t>DISTRICT PUBLIC PARTICIPATION -IDP</t>
  </si>
  <si>
    <t>IT MSP IMPLEMENTATION</t>
  </si>
  <si>
    <t>IN-29</t>
  </si>
  <si>
    <t>IN-31</t>
  </si>
  <si>
    <t>IN-32</t>
  </si>
  <si>
    <t>UPGRADE OF MAIN STOREROOM</t>
  </si>
  <si>
    <t>MUNICIPAL HEALTH INFORMATIONSYSTEM(WaterSampling Software)</t>
  </si>
  <si>
    <t>TEAM BUILDING EXERCISE</t>
  </si>
  <si>
    <t>TYPE OF INVESTMENT</t>
  </si>
  <si>
    <t>DATE INVESTED</t>
  </si>
  <si>
    <t>03/7497571214/000116</t>
  </si>
  <si>
    <t>89367/415889</t>
  </si>
  <si>
    <t>89367/413489</t>
  </si>
  <si>
    <t>1400198080450                       90 Days</t>
  </si>
  <si>
    <t>2010-Oct-19</t>
  </si>
  <si>
    <t>DA892504</t>
  </si>
  <si>
    <t>EPWP Incentive</t>
  </si>
  <si>
    <t>DM-02</t>
  </si>
  <si>
    <t>Construction lephalale fire station disaster centre</t>
  </si>
  <si>
    <t>Municipal Health and Welfare</t>
  </si>
  <si>
    <t>HW-04</t>
  </si>
  <si>
    <t>Ga-Seleka Drop in centre</t>
  </si>
  <si>
    <t>ROADS &amp; STRORM WATER</t>
  </si>
  <si>
    <t>RS-21</t>
  </si>
  <si>
    <t>Modimolle access road</t>
  </si>
  <si>
    <t>Municipal Health and Enviroment</t>
  </si>
  <si>
    <t>Municipal Roads and Storm water</t>
  </si>
  <si>
    <t>2010 / 2011</t>
  </si>
  <si>
    <t>Interest on current account</t>
  </si>
  <si>
    <t>Other Income</t>
  </si>
  <si>
    <t>Health Grant</t>
  </si>
  <si>
    <t>Refer to exp 4</t>
  </si>
  <si>
    <t>Refer to exp 5</t>
  </si>
  <si>
    <t>ANNEXURE F</t>
  </si>
  <si>
    <t>INVESTMENT PORTFOLIO</t>
  </si>
  <si>
    <t>330 Days</t>
  </si>
  <si>
    <t>89367/425492</t>
  </si>
  <si>
    <t>1 July 2010 – 31 December 2010</t>
  </si>
  <si>
    <t xml:space="preserve">BUDGETED         06 MONTHS PROJECTIONS </t>
  </si>
  <si>
    <t>PMS DBSA Grant</t>
  </si>
  <si>
    <t>1 July 2010 - 31 December 2010</t>
  </si>
  <si>
    <t>BUDGETED 06 MONTHS PROJECTIONS</t>
  </si>
  <si>
    <t>SAVINGS</t>
  </si>
  <si>
    <t>BALANCE              01 DEC 2010</t>
  </si>
  <si>
    <t>BALANCE             31 DEC 2010</t>
  </si>
  <si>
    <t>New Investment</t>
  </si>
  <si>
    <t>DA899770</t>
  </si>
  <si>
    <t>Interest paid into current account. Investment re-invetsed for 90 days @ 5.48%</t>
  </si>
  <si>
    <t>Interest paid into current account. Investment re-invested for 90 days @ 5.53</t>
  </si>
  <si>
    <t>Interest paid into current account. Investment re-invested for 90 days @ 5.52</t>
  </si>
  <si>
    <t>01 JULY TO 31 DECEMBER 2010</t>
  </si>
  <si>
    <t>Refer to exp 6</t>
  </si>
  <si>
    <t>EPWP Incentive Grant</t>
  </si>
  <si>
    <t>Refer to exp 7</t>
  </si>
  <si>
    <t>Municipal Enviromental Health &amp; Enviromental Management</t>
  </si>
  <si>
    <t>UNSPENT    30 JUNE 2010</t>
  </si>
  <si>
    <t>Refer to exp 8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</si>
</sst>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\-??_);_(@_)"/>
    <numFmt numFmtId="165" formatCode="###\ ###\ ##0"/>
    <numFmt numFmtId="166" formatCode="#\ ##0"/>
    <numFmt numFmtId="167" formatCode="_ * #,##0.000_ ;_ * \-#,##0.000_ ;_ * \-?_ ;_ @_ "/>
    <numFmt numFmtId="168" formatCode="_ * #,##0_ ;_ * \-#,##0_ ;_ * \-?_ ;_ @_ "/>
    <numFmt numFmtId="169" formatCode="_ * #,##0.0_ ;_ * \-#,##0.0_ ;_ * \-?_ ;_ @_ "/>
    <numFmt numFmtId="170" formatCode="_(* #,##0_);_(* \(#,##0\);_(* \-??_);_(@_)"/>
    <numFmt numFmtId="171" formatCode="_ * ##\ ##0_ ;_ * \-#,##0_ ;_ * \-_ ;_ @_ "/>
    <numFmt numFmtId="172" formatCode="d\-mmm\-yy"/>
    <numFmt numFmtId="173" formatCode="###\ ###\ ##0.00"/>
    <numFmt numFmtId="174" formatCode=".\ #\ ##00"/>
    <numFmt numFmtId="175" formatCode="_ * #,##0_ ;_ * \-#,##0_ ;_ * \-??_ ;_ @_ "/>
    <numFmt numFmtId="176" formatCode="_(* #,##0.00_);_(* \(#,##0.00\);_(* &quot;-&quot;??_);_(@_)"/>
    <numFmt numFmtId="177" formatCode="_(* #,##0_);_(* \(#,##0\);_(* &quot;-&quot;??_);_(@_)"/>
    <numFmt numFmtId="178" formatCode="_(&quot;$&quot;* #,##0.00_);_(&quot;$&quot;* \(#,##0.00\);_(&quot;$&quot;* &quot;-&quot;??_);_(@_)"/>
    <numFmt numFmtId="179" formatCode="_(* #,##0.0_);_(* \(#,##0.0\);_(* \-??_);_(@_)"/>
    <numFmt numFmtId="180" formatCode="_ * #,##0_ ;_ * \-#,##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haroni"/>
      <family val="0"/>
    </font>
    <font>
      <i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/>
      <top style="double">
        <color indexed="23"/>
      </top>
      <bottom style="double">
        <color indexed="23"/>
      </bottom>
    </border>
    <border>
      <left/>
      <right style="double">
        <color indexed="23"/>
      </right>
      <top style="double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/>
      <right/>
      <top style="double">
        <color indexed="23"/>
      </top>
      <bottom style="double">
        <color indexed="2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3" fontId="40" fillId="0" borderId="0" applyFont="0" applyFill="0" applyBorder="0" applyAlignment="0" applyProtection="0"/>
    <xf numFmtId="164" fontId="0" fillId="0" borderId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0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/>
    </xf>
    <xf numFmtId="165" fontId="21" fillId="0" borderId="1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165" fontId="23" fillId="0" borderId="10" xfId="0" applyNumberFormat="1" applyFont="1" applyBorder="1" applyAlignment="1">
      <alignment horizontal="right"/>
    </xf>
    <xf numFmtId="165" fontId="23" fillId="0" borderId="10" xfId="0" applyNumberFormat="1" applyFont="1" applyFill="1" applyBorder="1" applyAlignment="1">
      <alignment horizontal="right"/>
    </xf>
    <xf numFmtId="10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/>
    </xf>
    <xf numFmtId="10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9" fontId="23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68" fontId="23" fillId="0" borderId="10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10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72" applyBorder="1" applyAlignment="1">
      <alignment vertical="top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165" fontId="33" fillId="0" borderId="13" xfId="0" applyNumberFormat="1" applyFont="1" applyBorder="1" applyAlignment="1">
      <alignment/>
    </xf>
    <xf numFmtId="0" fontId="23" fillId="0" borderId="14" xfId="0" applyFont="1" applyBorder="1" applyAlignment="1">
      <alignment/>
    </xf>
    <xf numFmtId="165" fontId="23" fillId="0" borderId="14" xfId="0" applyNumberFormat="1" applyFont="1" applyBorder="1" applyAlignment="1">
      <alignment/>
    </xf>
    <xf numFmtId="165" fontId="33" fillId="0" borderId="10" xfId="0" applyNumberFormat="1" applyFont="1" applyBorder="1" applyAlignment="1">
      <alignment/>
    </xf>
    <xf numFmtId="165" fontId="25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31" fillId="0" borderId="13" xfId="0" applyFont="1" applyBorder="1" applyAlignment="1">
      <alignment/>
    </xf>
    <xf numFmtId="0" fontId="0" fillId="0" borderId="14" xfId="0" applyBorder="1" applyAlignment="1">
      <alignment/>
    </xf>
    <xf numFmtId="165" fontId="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3" fontId="20" fillId="0" borderId="22" xfId="0" applyNumberFormat="1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172" fontId="0" fillId="0" borderId="24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165" fontId="0" fillId="0" borderId="26" xfId="0" applyNumberFormat="1" applyFont="1" applyBorder="1" applyAlignment="1">
      <alignment/>
    </xf>
    <xf numFmtId="173" fontId="0" fillId="0" borderId="23" xfId="0" applyNumberFormat="1" applyFont="1" applyBorder="1" applyAlignment="1">
      <alignment/>
    </xf>
    <xf numFmtId="165" fontId="0" fillId="0" borderId="26" xfId="0" applyNumberFormat="1" applyFont="1" applyBorder="1" applyAlignment="1">
      <alignment horizontal="right"/>
    </xf>
    <xf numFmtId="0" fontId="20" fillId="0" borderId="26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34" fillId="0" borderId="14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6" borderId="10" xfId="0" applyNumberFormat="1" applyFont="1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3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36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34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4" fontId="31" fillId="15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4" fontId="36" fillId="0" borderId="16" xfId="0" applyNumberFormat="1" applyFont="1" applyFill="1" applyBorder="1" applyAlignment="1">
      <alignment/>
    </xf>
    <xf numFmtId="4" fontId="36" fillId="0" borderId="14" xfId="0" applyNumberFormat="1" applyFont="1" applyFill="1" applyBorder="1" applyAlignment="1">
      <alignment/>
    </xf>
    <xf numFmtId="4" fontId="31" fillId="0" borderId="13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Border="1" applyAlignment="1">
      <alignment/>
    </xf>
    <xf numFmtId="0" fontId="21" fillId="19" borderId="10" xfId="0" applyFont="1" applyFill="1" applyBorder="1" applyAlignment="1">
      <alignment/>
    </xf>
    <xf numFmtId="4" fontId="34" fillId="19" borderId="14" xfId="0" applyNumberFormat="1" applyFont="1" applyFill="1" applyBorder="1" applyAlignment="1">
      <alignment/>
    </xf>
    <xf numFmtId="4" fontId="0" fillId="19" borderId="13" xfId="0" applyNumberFormat="1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19" borderId="14" xfId="0" applyNumberForma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NumberFormat="1" applyFill="1" applyBorder="1" applyAlignment="1">
      <alignment horizontal="center"/>
    </xf>
    <xf numFmtId="4" fontId="0" fillId="19" borderId="10" xfId="0" applyNumberFormat="1" applyFont="1" applyFill="1" applyBorder="1" applyAlignment="1">
      <alignment/>
    </xf>
    <xf numFmtId="4" fontId="0" fillId="19" borderId="14" xfId="0" applyNumberFormat="1" applyFont="1" applyFill="1" applyBorder="1" applyAlignment="1">
      <alignment/>
    </xf>
    <xf numFmtId="0" fontId="21" fillId="20" borderId="10" xfId="0" applyFont="1" applyFill="1" applyBorder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165" fontId="21" fillId="20" borderId="10" xfId="0" applyNumberFormat="1" applyFont="1" applyFill="1" applyBorder="1" applyAlignment="1">
      <alignment horizontal="right"/>
    </xf>
    <xf numFmtId="165" fontId="19" fillId="20" borderId="10" xfId="0" applyNumberFormat="1" applyFont="1" applyFill="1" applyBorder="1" applyAlignment="1">
      <alignment/>
    </xf>
    <xf numFmtId="0" fontId="23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/>
    </xf>
    <xf numFmtId="41" fontId="0" fillId="0" borderId="0" xfId="42" applyNumberFormat="1" applyAlignment="1">
      <alignment horizontal="center"/>
    </xf>
    <xf numFmtId="41" fontId="0" fillId="0" borderId="0" xfId="42" applyNumberFormat="1" applyAlignment="1">
      <alignment/>
    </xf>
    <xf numFmtId="41" fontId="0" fillId="0" borderId="10" xfId="42" applyNumberFormat="1" applyBorder="1" applyAlignment="1">
      <alignment horizontal="center"/>
    </xf>
    <xf numFmtId="41" fontId="0" fillId="0" borderId="10" xfId="42" applyNumberFormat="1" applyBorder="1" applyAlignment="1">
      <alignment/>
    </xf>
    <xf numFmtId="41" fontId="21" fillId="0" borderId="10" xfId="42" applyNumberFormat="1" applyFont="1" applyBorder="1" applyAlignment="1">
      <alignment horizontal="right"/>
    </xf>
    <xf numFmtId="41" fontId="19" fillId="0" borderId="10" xfId="42" applyNumberFormat="1" applyFont="1" applyBorder="1" applyAlignment="1">
      <alignment horizontal="center" vertical="center" wrapText="1"/>
    </xf>
    <xf numFmtId="41" fontId="19" fillId="0" borderId="10" xfId="42" applyNumberFormat="1" applyFont="1" applyFill="1" applyBorder="1" applyAlignment="1">
      <alignment/>
    </xf>
    <xf numFmtId="170" fontId="21" fillId="0" borderId="10" xfId="42" applyNumberFormat="1" applyFont="1" applyBorder="1" applyAlignment="1">
      <alignment/>
    </xf>
    <xf numFmtId="170" fontId="21" fillId="0" borderId="0" xfId="42" applyNumberFormat="1" applyFont="1" applyAlignment="1">
      <alignment/>
    </xf>
    <xf numFmtId="170" fontId="21" fillId="0" borderId="10" xfId="42" applyNumberFormat="1" applyFont="1" applyFill="1" applyBorder="1" applyAlignment="1">
      <alignment/>
    </xf>
    <xf numFmtId="170" fontId="21" fillId="0" borderId="10" xfId="42" applyNumberFormat="1" applyFont="1" applyBorder="1" applyAlignment="1">
      <alignment horizontal="right"/>
    </xf>
    <xf numFmtId="170" fontId="21" fillId="20" borderId="10" xfId="42" applyNumberFormat="1" applyFont="1" applyFill="1" applyBorder="1" applyAlignment="1">
      <alignment horizontal="right"/>
    </xf>
    <xf numFmtId="170" fontId="21" fillId="0" borderId="10" xfId="42" applyNumberFormat="1" applyFont="1" applyFill="1" applyBorder="1" applyAlignment="1">
      <alignment horizontal="right"/>
    </xf>
    <xf numFmtId="170" fontId="21" fillId="0" borderId="10" xfId="42" applyNumberFormat="1" applyFont="1" applyFill="1" applyBorder="1" applyAlignment="1" applyProtection="1">
      <alignment horizontal="right"/>
      <protection/>
    </xf>
    <xf numFmtId="0" fontId="23" fillId="0" borderId="10" xfId="0" applyFont="1" applyFill="1" applyBorder="1" applyAlignment="1">
      <alignment horizontal="center"/>
    </xf>
    <xf numFmtId="4" fontId="0" fillId="21" borderId="10" xfId="0" applyNumberFormat="1" applyFont="1" applyFill="1" applyBorder="1" applyAlignment="1">
      <alignment/>
    </xf>
    <xf numFmtId="4" fontId="0" fillId="21" borderId="10" xfId="0" applyNumberFormat="1" applyFill="1" applyBorder="1" applyAlignment="1">
      <alignment/>
    </xf>
    <xf numFmtId="164" fontId="0" fillId="0" borderId="10" xfId="42" applyFont="1" applyBorder="1" applyAlignment="1">
      <alignment horizontal="center"/>
    </xf>
    <xf numFmtId="165" fontId="33" fillId="0" borderId="10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6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172" fontId="0" fillId="0" borderId="24" xfId="0" applyNumberFormat="1" applyFont="1" applyBorder="1" applyAlignment="1">
      <alignment horizontal="left" vertical="center"/>
    </xf>
    <xf numFmtId="10" fontId="0" fillId="0" borderId="24" xfId="0" applyNumberFormat="1" applyFont="1" applyBorder="1" applyAlignment="1">
      <alignment horizontal="left" vertical="center"/>
    </xf>
    <xf numFmtId="172" fontId="0" fillId="0" borderId="25" xfId="0" applyNumberFormat="1" applyFont="1" applyBorder="1" applyAlignment="1">
      <alignment horizontal="left" vertical="center"/>
    </xf>
    <xf numFmtId="10" fontId="0" fillId="0" borderId="25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72" fontId="0" fillId="0" borderId="31" xfId="0" applyNumberFormat="1" applyFont="1" applyBorder="1" applyAlignment="1">
      <alignment horizontal="left" vertical="center"/>
    </xf>
    <xf numFmtId="10" fontId="0" fillId="0" borderId="31" xfId="0" applyNumberFormat="1" applyFont="1" applyBorder="1" applyAlignment="1">
      <alignment horizontal="left" vertical="center"/>
    </xf>
    <xf numFmtId="10" fontId="0" fillId="0" borderId="30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172" fontId="0" fillId="0" borderId="34" xfId="0" applyNumberFormat="1" applyFont="1" applyBorder="1" applyAlignment="1">
      <alignment horizontal="left" vertical="center"/>
    </xf>
    <xf numFmtId="10" fontId="0" fillId="0" borderId="34" xfId="0" applyNumberFormat="1" applyFont="1" applyBorder="1" applyAlignment="1">
      <alignment horizontal="left" vertical="center"/>
    </xf>
    <xf numFmtId="172" fontId="0" fillId="0" borderId="35" xfId="0" applyNumberFormat="1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172" fontId="20" fillId="0" borderId="30" xfId="0" applyNumberFormat="1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172" fontId="20" fillId="0" borderId="31" xfId="0" applyNumberFormat="1" applyFont="1" applyBorder="1" applyAlignment="1">
      <alignment horizontal="left" vertical="center"/>
    </xf>
    <xf numFmtId="170" fontId="0" fillId="0" borderId="26" xfId="42" applyNumberFormat="1" applyFont="1" applyFill="1" applyBorder="1" applyAlignment="1">
      <alignment horizontal="left" vertical="center"/>
    </xf>
    <xf numFmtId="170" fontId="0" fillId="0" borderId="23" xfId="42" applyNumberFormat="1" applyFont="1" applyBorder="1" applyAlignment="1">
      <alignment horizontal="left" vertical="center"/>
    </xf>
    <xf numFmtId="170" fontId="0" fillId="0" borderId="26" xfId="42" applyNumberFormat="1" applyFont="1" applyBorder="1" applyAlignment="1">
      <alignment horizontal="left" vertical="center"/>
    </xf>
    <xf numFmtId="170" fontId="0" fillId="0" borderId="28" xfId="42" applyNumberFormat="1" applyFont="1" applyBorder="1" applyAlignment="1">
      <alignment horizontal="left" vertical="center"/>
    </xf>
    <xf numFmtId="170" fontId="0" fillId="0" borderId="29" xfId="42" applyNumberFormat="1" applyFont="1" applyBorder="1" applyAlignment="1">
      <alignment horizontal="left" vertical="center"/>
    </xf>
    <xf numFmtId="170" fontId="0" fillId="0" borderId="38" xfId="42" applyNumberFormat="1" applyFont="1" applyBorder="1" applyAlignment="1">
      <alignment horizontal="left" vertical="center"/>
    </xf>
    <xf numFmtId="170" fontId="0" fillId="0" borderId="36" xfId="42" applyNumberFormat="1" applyFont="1" applyBorder="1" applyAlignment="1">
      <alignment horizontal="left" vertical="center"/>
    </xf>
    <xf numFmtId="170" fontId="0" fillId="0" borderId="33" xfId="42" applyNumberFormat="1" applyFont="1" applyBorder="1" applyAlignment="1">
      <alignment horizontal="left" vertical="center"/>
    </xf>
    <xf numFmtId="170" fontId="20" fillId="0" borderId="39" xfId="42" applyNumberFormat="1" applyFont="1" applyBorder="1" applyAlignment="1">
      <alignment horizontal="left" vertical="center"/>
    </xf>
    <xf numFmtId="170" fontId="20" fillId="0" borderId="40" xfId="42" applyNumberFormat="1" applyFont="1" applyBorder="1" applyAlignment="1">
      <alignment horizontal="left" vertical="center"/>
    </xf>
    <xf numFmtId="170" fontId="20" fillId="0" borderId="41" xfId="42" applyNumberFormat="1" applyFont="1" applyBorder="1" applyAlignment="1">
      <alignment horizontal="left" vertical="center"/>
    </xf>
    <xf numFmtId="10" fontId="21" fillId="2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0" xfId="67" applyBorder="1">
      <alignment/>
      <protection/>
    </xf>
    <xf numFmtId="0" fontId="0" fillId="0" borderId="0" xfId="67" applyFont="1" applyBorder="1">
      <alignment/>
      <protection/>
    </xf>
    <xf numFmtId="177" fontId="0" fillId="0" borderId="0" xfId="49" applyNumberFormat="1" applyFont="1" applyBorder="1" applyAlignment="1">
      <alignment/>
    </xf>
    <xf numFmtId="0" fontId="0" fillId="0" borderId="0" xfId="67" applyBorder="1" applyAlignment="1">
      <alignment vertical="top" wrapText="1"/>
      <protection/>
    </xf>
    <xf numFmtId="49" fontId="0" fillId="0" borderId="0" xfId="67" applyNumberFormat="1" applyBorder="1">
      <alignment/>
      <protection/>
    </xf>
    <xf numFmtId="3" fontId="27" fillId="0" borderId="0" xfId="67" applyNumberFormat="1" applyFont="1" applyBorder="1" applyAlignment="1">
      <alignment horizontal="right"/>
      <protection/>
    </xf>
    <xf numFmtId="177" fontId="27" fillId="0" borderId="0" xfId="49" applyNumberFormat="1" applyFont="1" applyBorder="1" applyAlignment="1">
      <alignment horizontal="right"/>
    </xf>
    <xf numFmtId="0" fontId="20" fillId="0" borderId="0" xfId="67" applyFont="1" applyFill="1" applyBorder="1">
      <alignment/>
      <protection/>
    </xf>
    <xf numFmtId="3" fontId="26" fillId="0" borderId="42" xfId="67" applyNumberFormat="1" applyFont="1" applyFill="1" applyBorder="1">
      <alignment/>
      <protection/>
    </xf>
    <xf numFmtId="3" fontId="26" fillId="0" borderId="42" xfId="67" applyNumberFormat="1" applyFont="1" applyFill="1" applyBorder="1" applyAlignment="1">
      <alignment horizontal="right"/>
      <protection/>
    </xf>
    <xf numFmtId="177" fontId="26" fillId="0" borderId="42" xfId="49" applyNumberFormat="1" applyFont="1" applyFill="1" applyBorder="1" applyAlignment="1">
      <alignment horizontal="right"/>
    </xf>
    <xf numFmtId="0" fontId="26" fillId="0" borderId="42" xfId="67" applyFont="1" applyFill="1" applyBorder="1" applyAlignment="1">
      <alignment vertical="top" wrapText="1"/>
      <protection/>
    </xf>
    <xf numFmtId="49" fontId="26" fillId="0" borderId="42" xfId="67" applyNumberFormat="1" applyFont="1" applyFill="1" applyBorder="1">
      <alignment/>
      <protection/>
    </xf>
    <xf numFmtId="177" fontId="27" fillId="0" borderId="42" xfId="49" applyNumberFormat="1" applyFont="1" applyFill="1" applyBorder="1" applyAlignment="1">
      <alignment/>
    </xf>
    <xf numFmtId="177" fontId="27" fillId="0" borderId="42" xfId="49" applyNumberFormat="1" applyFont="1" applyFill="1" applyBorder="1" applyAlignment="1">
      <alignment horizontal="right"/>
    </xf>
    <xf numFmtId="0" fontId="27" fillId="0" borderId="42" xfId="67" applyFont="1" applyFill="1" applyBorder="1" applyAlignment="1">
      <alignment vertical="top" wrapText="1"/>
      <protection/>
    </xf>
    <xf numFmtId="49" fontId="27" fillId="0" borderId="42" xfId="67" applyNumberFormat="1" applyFont="1" applyFill="1" applyBorder="1">
      <alignment/>
      <protection/>
    </xf>
    <xf numFmtId="49" fontId="27" fillId="0" borderId="42" xfId="67" applyNumberFormat="1" applyFont="1" applyFill="1" applyBorder="1" quotePrefix="1">
      <alignment/>
      <protection/>
    </xf>
    <xf numFmtId="177" fontId="27" fillId="0" borderId="42" xfId="49" applyNumberFormat="1" applyFont="1" applyFill="1" applyBorder="1" applyAlignment="1" applyProtection="1">
      <alignment/>
      <protection locked="0"/>
    </xf>
    <xf numFmtId="177" fontId="0" fillId="0" borderId="42" xfId="49" applyNumberFormat="1" applyFont="1" applyFill="1" applyBorder="1" applyAlignment="1">
      <alignment/>
    </xf>
    <xf numFmtId="177" fontId="28" fillId="0" borderId="42" xfId="49" applyNumberFormat="1" applyFont="1" applyFill="1" applyBorder="1" applyAlignment="1">
      <alignment/>
    </xf>
    <xf numFmtId="177" fontId="27" fillId="0" borderId="43" xfId="49" applyNumberFormat="1" applyFont="1" applyFill="1" applyBorder="1" applyAlignment="1">
      <alignment/>
    </xf>
    <xf numFmtId="177" fontId="29" fillId="0" borderId="42" xfId="49" applyNumberFormat="1" applyFont="1" applyFill="1" applyBorder="1" applyAlignment="1">
      <alignment horizontal="right"/>
    </xf>
    <xf numFmtId="0" fontId="0" fillId="0" borderId="0" xfId="67" applyFill="1" applyBorder="1">
      <alignment/>
      <protection/>
    </xf>
    <xf numFmtId="0" fontId="30" fillId="0" borderId="0" xfId="67" applyFont="1" applyBorder="1">
      <alignment/>
      <protection/>
    </xf>
    <xf numFmtId="0" fontId="27" fillId="0" borderId="42" xfId="67" applyFont="1" applyFill="1" applyBorder="1">
      <alignment/>
      <protection/>
    </xf>
    <xf numFmtId="0" fontId="26" fillId="0" borderId="42" xfId="67" applyFont="1" applyFill="1" applyBorder="1">
      <alignment/>
      <protection/>
    </xf>
    <xf numFmtId="177" fontId="26" fillId="0" borderId="42" xfId="49" applyNumberFormat="1" applyFont="1" applyFill="1" applyBorder="1" applyAlignment="1">
      <alignment/>
    </xf>
    <xf numFmtId="0" fontId="26" fillId="0" borderId="42" xfId="67" applyFont="1" applyFill="1" applyBorder="1" applyAlignment="1">
      <alignment horizontal="center"/>
      <protection/>
    </xf>
    <xf numFmtId="177" fontId="26" fillId="0" borderId="42" xfId="49" applyNumberFormat="1" applyFont="1" applyFill="1" applyBorder="1" applyAlignment="1">
      <alignment horizontal="center"/>
    </xf>
    <xf numFmtId="0" fontId="28" fillId="0" borderId="42" xfId="67" applyFont="1" applyFill="1" applyBorder="1" applyAlignment="1">
      <alignment vertical="top" wrapText="1"/>
      <protection/>
    </xf>
    <xf numFmtId="0" fontId="0" fillId="0" borderId="0" xfId="67" applyBorder="1" applyAlignment="1">
      <alignment horizontal="center"/>
      <protection/>
    </xf>
    <xf numFmtId="3" fontId="28" fillId="0" borderId="42" xfId="67" applyNumberFormat="1" applyFont="1" applyFill="1" applyBorder="1" applyAlignment="1">
      <alignment horizontal="center"/>
      <protection/>
    </xf>
    <xf numFmtId="0" fontId="0" fillId="0" borderId="0" xfId="67" applyFill="1" applyBorder="1" applyAlignment="1">
      <alignment horizontal="center" vertical="top" wrapText="1"/>
      <protection/>
    </xf>
    <xf numFmtId="49" fontId="27" fillId="0" borderId="42" xfId="67" applyNumberFormat="1" applyFont="1" applyFill="1" applyBorder="1" applyAlignment="1">
      <alignment horizontal="center"/>
      <protection/>
    </xf>
    <xf numFmtId="0" fontId="30" fillId="0" borderId="0" xfId="67" applyFont="1" applyFill="1" applyBorder="1">
      <alignment/>
      <protection/>
    </xf>
    <xf numFmtId="3" fontId="39" fillId="0" borderId="42" xfId="57" applyNumberFormat="1" applyFont="1" applyFill="1" applyBorder="1" applyAlignment="1">
      <alignment readingOrder="1"/>
    </xf>
    <xf numFmtId="3" fontId="27" fillId="0" borderId="42" xfId="67" applyNumberFormat="1" applyFont="1" applyFill="1" applyBorder="1" applyAlignment="1">
      <alignment horizontal="right"/>
      <protection/>
    </xf>
    <xf numFmtId="0" fontId="30" fillId="0" borderId="42" xfId="67" applyFont="1" applyFill="1" applyBorder="1" applyAlignment="1">
      <alignment vertical="top" wrapText="1"/>
      <protection/>
    </xf>
    <xf numFmtId="49" fontId="30" fillId="0" borderId="42" xfId="67" applyNumberFormat="1" applyFont="1" applyFill="1" applyBorder="1">
      <alignment/>
      <protection/>
    </xf>
    <xf numFmtId="177" fontId="27" fillId="0" borderId="42" xfId="49" applyNumberFormat="1" applyFont="1" applyFill="1" applyBorder="1" applyAlignment="1">
      <alignment/>
    </xf>
    <xf numFmtId="177" fontId="29" fillId="0" borderId="42" xfId="49" applyNumberFormat="1" applyFont="1" applyFill="1" applyBorder="1" applyAlignment="1">
      <alignment vertical="top" wrapText="1"/>
    </xf>
    <xf numFmtId="49" fontId="27" fillId="0" borderId="42" xfId="49" applyNumberFormat="1" applyFont="1" applyFill="1" applyBorder="1" applyAlignment="1">
      <alignment horizontal="right"/>
    </xf>
    <xf numFmtId="177" fontId="29" fillId="0" borderId="42" xfId="49" applyNumberFormat="1" applyFont="1" applyFill="1" applyBorder="1" applyAlignment="1">
      <alignment/>
    </xf>
    <xf numFmtId="177" fontId="27" fillId="0" borderId="42" xfId="49" applyNumberFormat="1" applyFont="1" applyFill="1" applyBorder="1" applyAlignment="1">
      <alignment vertical="top" wrapText="1"/>
    </xf>
    <xf numFmtId="0" fontId="0" fillId="0" borderId="42" xfId="67" applyFill="1" applyBorder="1">
      <alignment/>
      <protection/>
    </xf>
    <xf numFmtId="3" fontId="27" fillId="0" borderId="42" xfId="67" applyNumberFormat="1" applyFont="1" applyFill="1" applyBorder="1">
      <alignment/>
      <protection/>
    </xf>
    <xf numFmtId="3" fontId="28" fillId="0" borderId="42" xfId="67" applyNumberFormat="1" applyFont="1" applyFill="1" applyBorder="1">
      <alignment/>
      <protection/>
    </xf>
    <xf numFmtId="49" fontId="20" fillId="0" borderId="42" xfId="67" applyNumberFormat="1" applyFont="1" applyFill="1" applyBorder="1">
      <alignment/>
      <protection/>
    </xf>
    <xf numFmtId="0" fontId="26" fillId="0" borderId="44" xfId="67" applyFont="1" applyFill="1" applyBorder="1" applyAlignment="1">
      <alignment horizontal="center"/>
      <protection/>
    </xf>
    <xf numFmtId="17" fontId="26" fillId="0" borderId="44" xfId="67" applyNumberFormat="1" applyFont="1" applyFill="1" applyBorder="1" applyAlignment="1">
      <alignment horizontal="center"/>
      <protection/>
    </xf>
    <xf numFmtId="3" fontId="28" fillId="0" borderId="43" xfId="67" applyNumberFormat="1" applyFont="1" applyFill="1" applyBorder="1" applyAlignment="1">
      <alignment horizontal="center"/>
      <protection/>
    </xf>
    <xf numFmtId="0" fontId="23" fillId="0" borderId="10" xfId="0" applyFont="1" applyBorder="1" applyAlignment="1">
      <alignment wrapText="1"/>
    </xf>
    <xf numFmtId="165" fontId="23" fillId="0" borderId="11" xfId="0" applyNumberFormat="1" applyFont="1" applyBorder="1" applyAlignment="1">
      <alignment/>
    </xf>
    <xf numFmtId="10" fontId="23" fillId="0" borderId="14" xfId="0" applyNumberFormat="1" applyFont="1" applyBorder="1" applyAlignment="1">
      <alignment horizontal="center"/>
    </xf>
    <xf numFmtId="165" fontId="23" fillId="0" borderId="45" xfId="0" applyNumberFormat="1" applyFont="1" applyBorder="1" applyAlignment="1">
      <alignment/>
    </xf>
    <xf numFmtId="165" fontId="22" fillId="0" borderId="11" xfId="0" applyNumberFormat="1" applyFont="1" applyBorder="1" applyAlignment="1">
      <alignment/>
    </xf>
    <xf numFmtId="10" fontId="22" fillId="0" borderId="14" xfId="0" applyNumberFormat="1" applyFont="1" applyBorder="1" applyAlignment="1">
      <alignment horizontal="center"/>
    </xf>
    <xf numFmtId="165" fontId="23" fillId="0" borderId="19" xfId="0" applyNumberFormat="1" applyFont="1" applyBorder="1" applyAlignment="1">
      <alignment/>
    </xf>
    <xf numFmtId="165" fontId="22" fillId="0" borderId="12" xfId="0" applyNumberFormat="1" applyFont="1" applyBorder="1" applyAlignment="1">
      <alignment/>
    </xf>
    <xf numFmtId="165" fontId="22" fillId="0" borderId="45" xfId="0" applyNumberFormat="1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0" xfId="0" applyNumberFormat="1" applyFont="1" applyFill="1" applyBorder="1" applyAlignment="1">
      <alignment horizontal="center"/>
    </xf>
    <xf numFmtId="4" fontId="0" fillId="20" borderId="10" xfId="0" applyNumberFormat="1" applyFont="1" applyFill="1" applyBorder="1" applyAlignment="1">
      <alignment/>
    </xf>
    <xf numFmtId="4" fontId="0" fillId="20" borderId="13" xfId="0" applyNumberFormat="1" applyFont="1" applyFill="1" applyBorder="1" applyAlignment="1">
      <alignment/>
    </xf>
    <xf numFmtId="4" fontId="34" fillId="20" borderId="14" xfId="0" applyNumberFormat="1" applyFont="1" applyFill="1" applyBorder="1" applyAlignment="1">
      <alignment/>
    </xf>
    <xf numFmtId="4" fontId="0" fillId="20" borderId="14" xfId="0" applyNumberFormat="1" applyFont="1" applyFill="1" applyBorder="1" applyAlignment="1">
      <alignment/>
    </xf>
    <xf numFmtId="4" fontId="0" fillId="20" borderId="10" xfId="0" applyNumberFormat="1" applyFill="1" applyBorder="1" applyAlignment="1">
      <alignment/>
    </xf>
    <xf numFmtId="4" fontId="31" fillId="20" borderId="14" xfId="0" applyNumberFormat="1" applyFont="1" applyFill="1" applyBorder="1" applyAlignment="1">
      <alignment/>
    </xf>
    <xf numFmtId="0" fontId="0" fillId="20" borderId="0" xfId="0" applyFill="1" applyAlignment="1">
      <alignment/>
    </xf>
    <xf numFmtId="4" fontId="31" fillId="20" borderId="1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0" fontId="0" fillId="20" borderId="10" xfId="0" applyFont="1" applyFill="1" applyBorder="1" applyAlignment="1">
      <alignment wrapText="1"/>
    </xf>
    <xf numFmtId="0" fontId="0" fillId="0" borderId="4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172" fontId="0" fillId="0" borderId="30" xfId="0" applyNumberFormat="1" applyFont="1" applyBorder="1" applyAlignment="1">
      <alignment horizontal="left" vertical="center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77" fontId="27" fillId="20" borderId="42" xfId="49" applyNumberFormat="1" applyFont="1" applyFill="1" applyBorder="1" applyAlignment="1">
      <alignment horizontal="right"/>
    </xf>
    <xf numFmtId="177" fontId="27" fillId="20" borderId="42" xfId="49" applyNumberFormat="1" applyFont="1" applyFill="1" applyBorder="1" applyAlignment="1">
      <alignment/>
    </xf>
    <xf numFmtId="165" fontId="23" fillId="0" borderId="48" xfId="0" applyNumberFormat="1" applyFont="1" applyBorder="1" applyAlignment="1">
      <alignment/>
    </xf>
    <xf numFmtId="170" fontId="0" fillId="0" borderId="48" xfId="42" applyNumberFormat="1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 wrapText="1"/>
    </xf>
    <xf numFmtId="165" fontId="25" fillId="0" borderId="47" xfId="0" applyNumberFormat="1" applyFont="1" applyBorder="1" applyAlignment="1">
      <alignment/>
    </xf>
    <xf numFmtId="0" fontId="33" fillId="0" borderId="13" xfId="0" applyFont="1" applyBorder="1" applyAlignment="1">
      <alignment/>
    </xf>
    <xf numFmtId="165" fontId="33" fillId="0" borderId="49" xfId="0" applyNumberFormat="1" applyFont="1" applyBorder="1" applyAlignment="1">
      <alignment/>
    </xf>
    <xf numFmtId="0" fontId="20" fillId="0" borderId="23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170" fontId="20" fillId="0" borderId="52" xfId="42" applyNumberFormat="1" applyFont="1" applyBorder="1" applyAlignment="1">
      <alignment horizontal="left" vertical="center"/>
    </xf>
    <xf numFmtId="170" fontId="20" fillId="0" borderId="53" xfId="42" applyNumberFormat="1" applyFont="1" applyBorder="1" applyAlignment="1">
      <alignment horizontal="left" vertical="center"/>
    </xf>
    <xf numFmtId="170" fontId="20" fillId="0" borderId="54" xfId="42" applyNumberFormat="1" applyFont="1" applyBorder="1" applyAlignment="1">
      <alignment horizontal="left" vertical="center"/>
    </xf>
    <xf numFmtId="172" fontId="0" fillId="0" borderId="0" xfId="0" applyNumberFormat="1" applyFont="1" applyBorder="1" applyAlignment="1">
      <alignment horizontal="left" vertical="center"/>
    </xf>
    <xf numFmtId="180" fontId="27" fillId="0" borderId="42" xfId="42" applyNumberFormat="1" applyFont="1" applyFill="1" applyBorder="1" applyAlignment="1">
      <alignment horizontal="right" vertical="center"/>
    </xf>
    <xf numFmtId="0" fontId="0" fillId="0" borderId="55" xfId="0" applyFont="1" applyBorder="1" applyAlignment="1">
      <alignment horizontal="left" vertical="center"/>
    </xf>
    <xf numFmtId="170" fontId="0" fillId="0" borderId="56" xfId="42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6" fillId="0" borderId="57" xfId="72" applyNumberFormat="1" applyFont="1" applyBorder="1" applyAlignment="1">
      <alignment horizontal="left" wrapText="1"/>
      <protection/>
    </xf>
    <xf numFmtId="0" fontId="26" fillId="0" borderId="43" xfId="67" applyFont="1" applyFill="1" applyBorder="1" applyAlignment="1">
      <alignment horizontal="center"/>
      <protection/>
    </xf>
    <xf numFmtId="0" fontId="26" fillId="0" borderId="58" xfId="67" applyFont="1" applyFill="1" applyBorder="1" applyAlignment="1">
      <alignment horizontal="center"/>
      <protection/>
    </xf>
    <xf numFmtId="0" fontId="26" fillId="0" borderId="44" xfId="67" applyFont="1" applyFill="1" applyBorder="1" applyAlignment="1">
      <alignment horizontal="center"/>
      <protection/>
    </xf>
    <xf numFmtId="17" fontId="26" fillId="0" borderId="43" xfId="67" applyNumberFormat="1" applyFont="1" applyFill="1" applyBorder="1" applyAlignment="1">
      <alignment horizontal="center"/>
      <protection/>
    </xf>
    <xf numFmtId="17" fontId="26" fillId="0" borderId="58" xfId="67" applyNumberFormat="1" applyFont="1" applyFill="1" applyBorder="1" applyAlignment="1">
      <alignment horizontal="center"/>
      <protection/>
    </xf>
    <xf numFmtId="17" fontId="26" fillId="0" borderId="44" xfId="67" applyNumberFormat="1" applyFont="1" applyFill="1" applyBorder="1" applyAlignment="1">
      <alignment horizontal="center"/>
      <protection/>
    </xf>
    <xf numFmtId="0" fontId="26" fillId="0" borderId="42" xfId="67" applyFont="1" applyFill="1" applyBorder="1" applyAlignment="1">
      <alignment horizontal="center"/>
      <protection/>
    </xf>
    <xf numFmtId="3" fontId="28" fillId="0" borderId="43" xfId="67" applyNumberFormat="1" applyFont="1" applyFill="1" applyBorder="1" applyAlignment="1">
      <alignment horizontal="center"/>
      <protection/>
    </xf>
    <xf numFmtId="3" fontId="28" fillId="0" borderId="58" xfId="67" applyNumberFormat="1" applyFont="1" applyFill="1" applyBorder="1" applyAlignment="1">
      <alignment horizontal="center"/>
      <protection/>
    </xf>
    <xf numFmtId="3" fontId="28" fillId="0" borderId="44" xfId="67" applyNumberFormat="1" applyFont="1" applyFill="1" applyBorder="1" applyAlignment="1">
      <alignment horizontal="center"/>
      <protection/>
    </xf>
    <xf numFmtId="3" fontId="29" fillId="0" borderId="58" xfId="67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3 3" xfId="44"/>
    <cellStyle name="Comma 2" xfId="45"/>
    <cellStyle name="Comma 2 2" xfId="46"/>
    <cellStyle name="Comma 2 2 2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Currency 2" xfId="54"/>
    <cellStyle name="Currency 2 2" xfId="55"/>
    <cellStyle name="Currency 2 3" xfId="56"/>
    <cellStyle name="Currency 3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2" xfId="67"/>
    <cellStyle name="Normal 13" xfId="68"/>
    <cellStyle name="Normal 14" xfId="69"/>
    <cellStyle name="Normal 15" xfId="70"/>
    <cellStyle name="Normal 18" xfId="71"/>
    <cellStyle name="Normal 2" xfId="72"/>
    <cellStyle name="Normal 21" xfId="73"/>
    <cellStyle name="Normal 27" xfId="74"/>
    <cellStyle name="Normal 3" xfId="75"/>
    <cellStyle name="Normal 36" xfId="76"/>
    <cellStyle name="Normal 37" xfId="77"/>
    <cellStyle name="Normal 42" xfId="78"/>
    <cellStyle name="Normal 44" xfId="79"/>
    <cellStyle name="Normal 45" xfId="80"/>
    <cellStyle name="Normal 49" xfId="81"/>
    <cellStyle name="Normal 5" xfId="82"/>
    <cellStyle name="Normal 50" xfId="83"/>
    <cellStyle name="Normal 52" xfId="84"/>
    <cellStyle name="Normal 53" xfId="85"/>
    <cellStyle name="Normal 54" xfId="86"/>
    <cellStyle name="Normal 55" xfId="87"/>
    <cellStyle name="Normal 57" xfId="88"/>
    <cellStyle name="Normal 58" xfId="89"/>
    <cellStyle name="Normal 59" xfId="90"/>
    <cellStyle name="Normal 60" xfId="91"/>
    <cellStyle name="Normal 62" xfId="92"/>
    <cellStyle name="Normal 63" xfId="93"/>
    <cellStyle name="Normal 64" xfId="94"/>
    <cellStyle name="Normal 65" xfId="95"/>
    <cellStyle name="Normal 66" xfId="96"/>
    <cellStyle name="Normal 68" xfId="97"/>
    <cellStyle name="Normal 72" xfId="98"/>
    <cellStyle name="Normal 73" xfId="99"/>
    <cellStyle name="Normal 74" xfId="100"/>
    <cellStyle name="Normal 76" xfId="101"/>
    <cellStyle name="Normal 79" xfId="102"/>
    <cellStyle name="Normal 80" xfId="103"/>
    <cellStyle name="Normal 81" xfId="104"/>
    <cellStyle name="Normal 82" xfId="105"/>
    <cellStyle name="Normal 83" xfId="106"/>
    <cellStyle name="Normal 84" xfId="107"/>
    <cellStyle name="Normal 85" xfId="108"/>
    <cellStyle name="Normal 86" xfId="109"/>
    <cellStyle name="Normal 89" xfId="110"/>
    <cellStyle name="Normal 90" xfId="111"/>
    <cellStyle name="Normal 94" xfId="112"/>
    <cellStyle name="Note" xfId="113"/>
    <cellStyle name="Output" xfId="114"/>
    <cellStyle name="Percent" xfId="115"/>
    <cellStyle name="Percent 2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abusela\Desktop\Copy%20of%20Final%20%20SDBIP%2009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Introduction &amp; Legislation"/>
      <sheetName val="Methodology and contets"/>
      <sheetName val="Strategy"/>
      <sheetName val="Operational Objectives (2)"/>
      <sheetName val="Cons Cash flow projection"/>
      <sheetName val="Performance Indicators - MM"/>
      <sheetName val="Projects - MM"/>
      <sheetName val="Performance Indicators - CFO"/>
      <sheetName val="Projects - CFO"/>
      <sheetName val="Performance Indicators - SDCS&amp;H"/>
      <sheetName val="Projects - SDCS&amp;Health"/>
      <sheetName val="Performance Indicators - CSSS"/>
      <sheetName val="Projects - CSSS"/>
      <sheetName val="Performance Indicators PED"/>
      <sheetName val="Projects - PED"/>
      <sheetName val="Performance Indicators - ID"/>
      <sheetName val="Projects - ID"/>
      <sheetName val="Performance indicators - EMO"/>
      <sheetName val="Projects - EMO"/>
      <sheetName val="Capital Works Plan"/>
      <sheetName val="Approval"/>
    </sheetNames>
    <sheetDataSet>
      <sheetData sheetId="21">
        <row r="6">
          <cell r="G6">
            <v>0</v>
          </cell>
          <cell r="I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29.8515625" style="0" customWidth="1"/>
    <col min="2" max="2" width="15.57421875" style="179" customWidth="1"/>
    <col min="3" max="3" width="17.7109375" style="0" customWidth="1"/>
    <col min="4" max="4" width="14.140625" style="0" customWidth="1"/>
    <col min="5" max="6" width="12.28125" style="0" customWidth="1"/>
    <col min="7" max="7" width="14.57421875" style="0" customWidth="1"/>
    <col min="8" max="8" width="15.28125" style="0" customWidth="1"/>
  </cols>
  <sheetData>
    <row r="2" spans="1:8" ht="18">
      <c r="A2" s="346" t="s">
        <v>0</v>
      </c>
      <c r="B2" s="346"/>
      <c r="C2" s="346"/>
      <c r="D2" s="346"/>
      <c r="E2" s="346"/>
      <c r="F2" s="346"/>
      <c r="G2" s="346"/>
      <c r="H2" s="346"/>
    </row>
    <row r="3" spans="1:8" ht="15.75">
      <c r="A3" s="347" t="s">
        <v>1</v>
      </c>
      <c r="B3" s="347"/>
      <c r="C3" s="347"/>
      <c r="D3" s="347"/>
      <c r="E3" s="347"/>
      <c r="F3" s="347"/>
      <c r="G3" s="347"/>
      <c r="H3" s="347"/>
    </row>
    <row r="4" spans="1:8" ht="15.75">
      <c r="A4" s="347" t="s">
        <v>278</v>
      </c>
      <c r="B4" s="347"/>
      <c r="C4" s="347"/>
      <c r="D4" s="347"/>
      <c r="E4" s="347"/>
      <c r="F4" s="347"/>
      <c r="G4" s="347"/>
      <c r="H4" s="347"/>
    </row>
    <row r="5" spans="1:8" ht="12.75">
      <c r="A5" s="1"/>
      <c r="B5" s="178"/>
      <c r="C5" s="1"/>
      <c r="D5" s="1"/>
      <c r="E5" s="1"/>
      <c r="F5" s="1"/>
      <c r="G5" s="1"/>
      <c r="H5" s="1"/>
    </row>
    <row r="6" ht="9" customHeight="1"/>
    <row r="7" spans="1:8" s="3" customFormat="1" ht="76.5" customHeight="1">
      <c r="A7" s="2" t="s">
        <v>2</v>
      </c>
      <c r="B7" s="183" t="s">
        <v>3</v>
      </c>
      <c r="C7" s="173" t="s">
        <v>279</v>
      </c>
      <c r="D7" s="2" t="s">
        <v>4</v>
      </c>
      <c r="E7" s="173" t="s">
        <v>180</v>
      </c>
      <c r="F7" s="2" t="s">
        <v>5</v>
      </c>
      <c r="G7" s="2" t="s">
        <v>6</v>
      </c>
      <c r="H7" s="2" t="s">
        <v>7</v>
      </c>
    </row>
    <row r="8" spans="1:8" s="3" customFormat="1" ht="15">
      <c r="A8" s="4" t="s">
        <v>8</v>
      </c>
      <c r="B8" s="180" t="s">
        <v>8</v>
      </c>
      <c r="C8" s="4" t="s">
        <v>8</v>
      </c>
      <c r="D8" s="4" t="s">
        <v>8</v>
      </c>
      <c r="E8" s="4" t="s">
        <v>9</v>
      </c>
      <c r="F8" s="4" t="s">
        <v>10</v>
      </c>
      <c r="G8" s="4" t="s">
        <v>11</v>
      </c>
      <c r="H8" s="5"/>
    </row>
    <row r="9" spans="1:8" s="3" customFormat="1" ht="15">
      <c r="A9" s="5"/>
      <c r="B9" s="181"/>
      <c r="C9" s="5"/>
      <c r="D9" s="5"/>
      <c r="E9" s="5"/>
      <c r="F9" s="5"/>
      <c r="G9" s="5"/>
      <c r="H9" s="5"/>
    </row>
    <row r="10" spans="1:8" s="3" customFormat="1" ht="15.75">
      <c r="A10" s="6" t="s">
        <v>12</v>
      </c>
      <c r="B10" s="181"/>
      <c r="C10" s="5"/>
      <c r="D10" s="5"/>
      <c r="E10" s="5"/>
      <c r="F10" s="5"/>
      <c r="G10" s="5"/>
      <c r="H10" s="5"/>
    </row>
    <row r="11" spans="1:8" s="3" customFormat="1" ht="15">
      <c r="A11" s="5" t="s">
        <v>13</v>
      </c>
      <c r="B11" s="185">
        <v>85215000</v>
      </c>
      <c r="C11" s="190">
        <f>SDBIP!AN34</f>
        <v>63911023</v>
      </c>
      <c r="D11" s="185">
        <v>63911023</v>
      </c>
      <c r="E11" s="8">
        <f>C11/B11</f>
        <v>0.7499973361497388</v>
      </c>
      <c r="F11" s="8">
        <f>+D11/B11*100%</f>
        <v>0.7499973361497388</v>
      </c>
      <c r="G11" s="8">
        <f>+E11-F11</f>
        <v>0</v>
      </c>
      <c r="H11" s="5"/>
    </row>
    <row r="12" spans="1:8" s="3" customFormat="1" ht="15">
      <c r="A12" s="5" t="s">
        <v>14</v>
      </c>
      <c r="B12" s="186">
        <v>750000</v>
      </c>
      <c r="C12" s="190">
        <f>SDBIP!AN36</f>
        <v>375000</v>
      </c>
      <c r="D12" s="187">
        <v>26981</v>
      </c>
      <c r="E12" s="8">
        <f>C12/B12</f>
        <v>0.5</v>
      </c>
      <c r="F12" s="8">
        <f>+D12/B12*100%</f>
        <v>0.03597466666666667</v>
      </c>
      <c r="G12" s="8">
        <f>+E12-F12</f>
        <v>0.46402533333333335</v>
      </c>
      <c r="H12" s="5" t="s">
        <v>15</v>
      </c>
    </row>
    <row r="13" spans="1:8" s="3" customFormat="1" ht="15">
      <c r="A13" s="5" t="s">
        <v>16</v>
      </c>
      <c r="B13" s="185">
        <v>1000000</v>
      </c>
      <c r="C13" s="190">
        <f>SDBIP!AN35</f>
        <v>500000</v>
      </c>
      <c r="D13" s="187">
        <v>346982</v>
      </c>
      <c r="E13" s="8">
        <f>C13/B13</f>
        <v>0.5</v>
      </c>
      <c r="F13" s="8">
        <f>+D13/B13*100%</f>
        <v>0.346982</v>
      </c>
      <c r="G13" s="8">
        <f>+E13-F13</f>
        <v>0.153018</v>
      </c>
      <c r="H13" s="5" t="s">
        <v>17</v>
      </c>
    </row>
    <row r="14" spans="1:8" s="3" customFormat="1" ht="15">
      <c r="A14" s="5" t="s">
        <v>18</v>
      </c>
      <c r="B14" s="188">
        <v>7881000</v>
      </c>
      <c r="C14" s="190">
        <f>SDBIP!AN37</f>
        <v>3940500</v>
      </c>
      <c r="D14" s="187">
        <v>4697686</v>
      </c>
      <c r="E14" s="8">
        <f>C14/B14</f>
        <v>0.5</v>
      </c>
      <c r="F14" s="8">
        <f>+D14/B14*100%</f>
        <v>0.596077401345007</v>
      </c>
      <c r="G14" s="8">
        <f>+E14-F14</f>
        <v>-0.09607740134500697</v>
      </c>
      <c r="H14" s="5" t="s">
        <v>19</v>
      </c>
    </row>
    <row r="15" spans="1:8" s="3" customFormat="1" ht="15" hidden="1">
      <c r="A15" s="5"/>
      <c r="B15" s="188"/>
      <c r="C15" s="191"/>
      <c r="D15" s="185"/>
      <c r="E15" s="8"/>
      <c r="F15" s="8"/>
      <c r="G15" s="8">
        <f>+E15-F15</f>
        <v>0</v>
      </c>
      <c r="H15" s="161"/>
    </row>
    <row r="16" spans="1:8" s="3" customFormat="1" ht="15" hidden="1">
      <c r="A16" s="172"/>
      <c r="B16" s="189"/>
      <c r="C16" s="191"/>
      <c r="D16" s="187"/>
      <c r="E16" s="8"/>
      <c r="F16" s="8"/>
      <c r="G16" s="8"/>
      <c r="H16" s="172"/>
    </row>
    <row r="17" spans="1:8" s="3" customFormat="1" ht="15" hidden="1">
      <c r="A17" s="172"/>
      <c r="B17" s="189"/>
      <c r="C17" s="191"/>
      <c r="D17" s="187"/>
      <c r="E17" s="8"/>
      <c r="F17" s="8"/>
      <c r="G17" s="8"/>
      <c r="H17" s="172"/>
    </row>
    <row r="18" spans="1:8" s="3" customFormat="1" ht="15" hidden="1">
      <c r="A18" s="172"/>
      <c r="B18" s="189"/>
      <c r="C18" s="191"/>
      <c r="D18" s="187"/>
      <c r="E18" s="8"/>
      <c r="F18" s="8"/>
      <c r="G18" s="8"/>
      <c r="H18" s="172"/>
    </row>
    <row r="19" spans="1:8" s="3" customFormat="1" ht="15" hidden="1">
      <c r="A19" s="172"/>
      <c r="B19" s="189"/>
      <c r="C19" s="191"/>
      <c r="D19" s="187"/>
      <c r="E19" s="8"/>
      <c r="F19" s="8"/>
      <c r="G19" s="8"/>
      <c r="H19" s="172"/>
    </row>
    <row r="20" spans="1:8" s="3" customFormat="1" ht="15" hidden="1">
      <c r="A20" s="172"/>
      <c r="B20" s="189"/>
      <c r="C20" s="191"/>
      <c r="D20" s="187"/>
      <c r="E20" s="8"/>
      <c r="F20" s="8"/>
      <c r="G20" s="8"/>
      <c r="H20" s="172"/>
    </row>
    <row r="21" spans="1:8" s="3" customFormat="1" ht="15" hidden="1">
      <c r="A21" s="172"/>
      <c r="B21" s="189"/>
      <c r="C21" s="191"/>
      <c r="D21" s="187"/>
      <c r="E21" s="8"/>
      <c r="F21" s="236"/>
      <c r="G21" s="8"/>
      <c r="H21" s="172"/>
    </row>
    <row r="22" spans="1:8" s="3" customFormat="1" ht="15" hidden="1">
      <c r="A22" s="172"/>
      <c r="B22" s="189"/>
      <c r="C22" s="191"/>
      <c r="D22" s="187"/>
      <c r="E22" s="8"/>
      <c r="F22" s="236"/>
      <c r="G22" s="8"/>
      <c r="H22" s="172"/>
    </row>
    <row r="23" spans="1:8" s="3" customFormat="1" ht="15" hidden="1">
      <c r="A23" s="172"/>
      <c r="B23" s="189"/>
      <c r="C23" s="189"/>
      <c r="D23" s="187"/>
      <c r="E23" s="8"/>
      <c r="F23" s="236"/>
      <c r="G23" s="8"/>
      <c r="H23" s="172"/>
    </row>
    <row r="24" spans="1:8" s="3" customFormat="1" ht="15" hidden="1">
      <c r="A24" s="172"/>
      <c r="B24" s="189"/>
      <c r="C24" s="190"/>
      <c r="D24" s="227"/>
      <c r="E24" s="8"/>
      <c r="F24" s="8"/>
      <c r="G24" s="8"/>
      <c r="H24" s="172"/>
    </row>
    <row r="25" spans="1:8" s="3" customFormat="1" ht="15">
      <c r="A25" s="172" t="s">
        <v>257</v>
      </c>
      <c r="B25" s="189">
        <v>1037000</v>
      </c>
      <c r="C25" s="190">
        <f>SDBIP!AN43</f>
        <v>133000</v>
      </c>
      <c r="D25" s="227">
        <v>0</v>
      </c>
      <c r="E25" s="8">
        <f>C25/B25</f>
        <v>0.12825458052073288</v>
      </c>
      <c r="F25" s="8">
        <f>+D25/B25*100%</f>
        <v>0</v>
      </c>
      <c r="G25" s="8">
        <f>+E25-F25</f>
        <v>0.12825458052073288</v>
      </c>
      <c r="H25" s="5" t="s">
        <v>272</v>
      </c>
    </row>
    <row r="26" spans="1:8" s="3" customFormat="1" ht="15">
      <c r="A26" s="172" t="s">
        <v>280</v>
      </c>
      <c r="B26" s="227">
        <v>0</v>
      </c>
      <c r="C26" s="190">
        <f>SDBIP!AN49</f>
        <v>0</v>
      </c>
      <c r="D26" s="187">
        <v>698058</v>
      </c>
      <c r="E26" s="8">
        <v>0</v>
      </c>
      <c r="F26" s="8">
        <v>0</v>
      </c>
      <c r="G26" s="8">
        <v>0</v>
      </c>
      <c r="H26" s="5" t="s">
        <v>273</v>
      </c>
    </row>
    <row r="27" spans="1:8" s="3" customFormat="1" ht="15">
      <c r="A27" s="5"/>
      <c r="B27" s="185"/>
      <c r="C27" s="187"/>
      <c r="D27" s="185"/>
      <c r="E27" s="5"/>
      <c r="F27" s="5"/>
      <c r="G27" s="172"/>
      <c r="H27" s="172"/>
    </row>
    <row r="28" spans="1:8" s="3" customFormat="1" ht="15.75" hidden="1">
      <c r="A28" s="6"/>
      <c r="B28" s="185"/>
      <c r="C28" s="187"/>
      <c r="D28" s="185"/>
      <c r="E28" s="5"/>
      <c r="F28" s="5"/>
      <c r="G28" s="172"/>
      <c r="H28" s="172"/>
    </row>
    <row r="29" spans="1:8" s="3" customFormat="1" ht="15" hidden="1">
      <c r="A29" s="5"/>
      <c r="B29" s="188"/>
      <c r="C29" s="190"/>
      <c r="D29" s="185"/>
      <c r="E29" s="8"/>
      <c r="F29" s="5"/>
      <c r="G29" s="172"/>
      <c r="H29" s="172"/>
    </row>
    <row r="30" spans="1:8" s="3" customFormat="1" ht="15.75">
      <c r="A30" s="6" t="s">
        <v>20</v>
      </c>
      <c r="B30" s="188"/>
      <c r="C30" s="191"/>
      <c r="D30" s="187"/>
      <c r="E30" s="8"/>
      <c r="F30" s="8"/>
      <c r="G30" s="8"/>
      <c r="H30" s="172"/>
    </row>
    <row r="31" spans="1:8" s="3" customFormat="1" ht="15">
      <c r="A31" s="5" t="s">
        <v>21</v>
      </c>
      <c r="B31" s="185">
        <v>400000</v>
      </c>
      <c r="C31" s="190">
        <f>SDBIP!AN30</f>
        <v>200000</v>
      </c>
      <c r="D31" s="187">
        <v>177497</v>
      </c>
      <c r="E31" s="8">
        <f>C31/B31</f>
        <v>0.5</v>
      </c>
      <c r="F31" s="8">
        <f aca="true" t="shared" si="0" ref="F31:F37">+D31/B31*100%</f>
        <v>0.4437425</v>
      </c>
      <c r="G31" s="8">
        <f aca="true" t="shared" si="1" ref="G31:G37">+E31-F31</f>
        <v>0.056257500000000016</v>
      </c>
      <c r="H31" s="172"/>
    </row>
    <row r="32" spans="1:8" s="3" customFormat="1" ht="15">
      <c r="A32" s="5" t="s">
        <v>22</v>
      </c>
      <c r="B32" s="185">
        <v>8000000</v>
      </c>
      <c r="C32" s="190">
        <f>SDBIP!AN28</f>
        <v>4000000</v>
      </c>
      <c r="D32" s="185">
        <v>3314711</v>
      </c>
      <c r="E32" s="8">
        <f>C32/B32</f>
        <v>0.5</v>
      </c>
      <c r="F32" s="8">
        <f t="shared" si="0"/>
        <v>0.414338875</v>
      </c>
      <c r="G32" s="8">
        <f t="shared" si="1"/>
        <v>0.085661125</v>
      </c>
      <c r="H32" s="172"/>
    </row>
    <row r="33" spans="1:8" s="3" customFormat="1" ht="15">
      <c r="A33" s="9" t="s">
        <v>23</v>
      </c>
      <c r="B33" s="185">
        <v>1246500</v>
      </c>
      <c r="C33" s="190">
        <f>SDBIP!AN27+SDBIP!AN31</f>
        <v>623250</v>
      </c>
      <c r="D33" s="185">
        <v>338566</v>
      </c>
      <c r="E33" s="8">
        <f>C33/B33</f>
        <v>0.5</v>
      </c>
      <c r="F33" s="8">
        <f t="shared" si="0"/>
        <v>0.27161331728840754</v>
      </c>
      <c r="G33" s="8">
        <f t="shared" si="1"/>
        <v>0.22838668271159246</v>
      </c>
      <c r="H33" s="5" t="s">
        <v>292</v>
      </c>
    </row>
    <row r="34" spans="1:8" s="3" customFormat="1" ht="15">
      <c r="A34" s="5" t="s">
        <v>24</v>
      </c>
      <c r="B34" s="188">
        <v>10000</v>
      </c>
      <c r="C34" s="190">
        <f>SDBIP!AN33</f>
        <v>6666.666666666667</v>
      </c>
      <c r="D34" s="227">
        <v>0</v>
      </c>
      <c r="E34" s="8">
        <f>C34/B34</f>
        <v>0.6666666666666667</v>
      </c>
      <c r="F34" s="8">
        <v>0</v>
      </c>
      <c r="G34" s="8">
        <f t="shared" si="1"/>
        <v>0.6666666666666667</v>
      </c>
      <c r="H34" s="172" t="s">
        <v>294</v>
      </c>
    </row>
    <row r="35" spans="1:8" s="3" customFormat="1" ht="15">
      <c r="A35" s="5" t="s">
        <v>25</v>
      </c>
      <c r="B35" s="188">
        <v>62000</v>
      </c>
      <c r="C35" s="190">
        <f>SDBIP!AN32</f>
        <v>41000</v>
      </c>
      <c r="D35" s="189">
        <v>251588</v>
      </c>
      <c r="E35" s="8">
        <f>C35/B35</f>
        <v>0.6612903225806451</v>
      </c>
      <c r="F35" s="8">
        <f>+D35/B35*100%</f>
        <v>4.057870967741936</v>
      </c>
      <c r="G35" s="8">
        <f>+E35-F35</f>
        <v>-3.3965806451612908</v>
      </c>
      <c r="H35" s="172" t="s">
        <v>297</v>
      </c>
    </row>
    <row r="36" spans="1:8" s="3" customFormat="1" ht="15">
      <c r="A36" s="5"/>
      <c r="B36" s="182"/>
      <c r="C36" s="174"/>
      <c r="D36" s="10"/>
      <c r="E36" s="8"/>
      <c r="F36" s="8"/>
      <c r="G36" s="8"/>
      <c r="H36" s="5"/>
    </row>
    <row r="37" spans="1:8" s="13" customFormat="1" ht="15.75">
      <c r="A37" s="6" t="s">
        <v>26</v>
      </c>
      <c r="B37" s="184">
        <f>SUM(B11:B35)</f>
        <v>105601500</v>
      </c>
      <c r="C37" s="175">
        <f>SUM(C11:C35)</f>
        <v>73730439.66666667</v>
      </c>
      <c r="D37" s="11">
        <f>SUM(D11:D35)</f>
        <v>73763092</v>
      </c>
      <c r="E37" s="12">
        <f>C37/B37</f>
        <v>0.6981950035431946</v>
      </c>
      <c r="F37" s="12">
        <f t="shared" si="0"/>
        <v>0.6985042068531223</v>
      </c>
      <c r="G37" s="12">
        <f t="shared" si="1"/>
        <v>-0.00030920330992767475</v>
      </c>
      <c r="H37" s="6"/>
    </row>
    <row r="38" spans="1:8" s="3" customFormat="1" ht="15">
      <c r="A38" s="5"/>
      <c r="B38" s="181"/>
      <c r="C38" s="7"/>
      <c r="D38" s="7"/>
      <c r="E38" s="4"/>
      <c r="F38" s="5"/>
      <c r="G38" s="5"/>
      <c r="H38" s="5"/>
    </row>
    <row r="39" spans="1:8" s="3" customFormat="1" ht="15">
      <c r="A39" s="5"/>
      <c r="B39" s="181"/>
      <c r="C39" s="7"/>
      <c r="D39" s="7"/>
      <c r="E39" s="5"/>
      <c r="F39" s="5"/>
      <c r="G39" s="5"/>
      <c r="H39" s="5"/>
    </row>
    <row r="40" s="3" customFormat="1" ht="15">
      <c r="B40" s="179"/>
    </row>
    <row r="41" s="3" customFormat="1" ht="15">
      <c r="B41" s="179"/>
    </row>
  </sheetData>
  <sheetProtection/>
  <mergeCells count="3">
    <mergeCell ref="A2:H2"/>
    <mergeCell ref="A3:H3"/>
    <mergeCell ref="A4:H4"/>
  </mergeCells>
  <printOptions/>
  <pageMargins left="0.43" right="0.15763888888888888" top="0.9840277777777778" bottom="0.9840277777777778" header="0.5118055555555556" footer="0.5118055555555556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C27">
      <selection activeCell="K34" sqref="K34"/>
    </sheetView>
  </sheetViews>
  <sheetFormatPr defaultColWidth="9.140625" defaultRowHeight="12.75"/>
  <cols>
    <col min="1" max="1" width="42.8515625" style="0" customWidth="1"/>
    <col min="2" max="2" width="15.8515625" style="0" customWidth="1"/>
    <col min="3" max="3" width="16.7109375" style="0" customWidth="1"/>
    <col min="4" max="4" width="13.8515625" style="0" customWidth="1"/>
    <col min="5" max="5" width="11.57421875" style="0" customWidth="1"/>
    <col min="6" max="6" width="14.421875" style="0" customWidth="1"/>
    <col min="7" max="7" width="11.57421875" style="0" customWidth="1"/>
    <col min="8" max="8" width="15.28125" style="0" bestFit="1" customWidth="1"/>
  </cols>
  <sheetData>
    <row r="1" spans="1:8" ht="18">
      <c r="A1" s="346" t="s">
        <v>27</v>
      </c>
      <c r="B1" s="346"/>
      <c r="C1" s="346"/>
      <c r="D1" s="346"/>
      <c r="E1" s="346"/>
      <c r="F1" s="346"/>
      <c r="G1" s="346"/>
      <c r="H1" s="346"/>
    </row>
    <row r="2" spans="1:8" ht="15.75">
      <c r="A2" s="347" t="s">
        <v>28</v>
      </c>
      <c r="B2" s="347"/>
      <c r="C2" s="347"/>
      <c r="D2" s="347"/>
      <c r="E2" s="347"/>
      <c r="F2" s="347"/>
      <c r="G2" s="347"/>
      <c r="H2" s="347"/>
    </row>
    <row r="3" spans="1:8" ht="15.75">
      <c r="A3" s="347" t="s">
        <v>281</v>
      </c>
      <c r="B3" s="347"/>
      <c r="C3" s="347"/>
      <c r="D3" s="347"/>
      <c r="E3" s="347"/>
      <c r="F3" s="347"/>
      <c r="G3" s="347"/>
      <c r="H3" s="347"/>
    </row>
    <row r="4" spans="1:8" ht="15.75">
      <c r="A4" s="14"/>
      <c r="B4" s="15"/>
      <c r="C4" s="15"/>
      <c r="D4" s="15"/>
      <c r="E4" s="15"/>
      <c r="F4" s="15"/>
      <c r="G4" s="15"/>
      <c r="H4" s="15"/>
    </row>
    <row r="5" spans="1:6" ht="12" customHeight="1">
      <c r="A5" s="16"/>
      <c r="B5" s="16"/>
      <c r="C5" s="16"/>
      <c r="D5" s="16"/>
      <c r="E5" s="16"/>
      <c r="F5" s="16"/>
    </row>
    <row r="6" spans="1:8" s="20" customFormat="1" ht="45">
      <c r="A6" s="17" t="s">
        <v>29</v>
      </c>
      <c r="B6" s="18" t="s">
        <v>30</v>
      </c>
      <c r="C6" s="18" t="s">
        <v>282</v>
      </c>
      <c r="D6" s="18" t="s">
        <v>31</v>
      </c>
      <c r="E6" s="18" t="s">
        <v>32</v>
      </c>
      <c r="F6" s="18" t="s">
        <v>33</v>
      </c>
      <c r="G6" s="19" t="s">
        <v>6</v>
      </c>
      <c r="H6" s="18" t="s">
        <v>7</v>
      </c>
    </row>
    <row r="7" spans="1:8" s="20" customFormat="1" ht="14.25">
      <c r="A7" s="21" t="s">
        <v>8</v>
      </c>
      <c r="B7" s="22" t="s">
        <v>8</v>
      </c>
      <c r="C7" s="22" t="s">
        <v>8</v>
      </c>
      <c r="D7" s="22" t="s">
        <v>8</v>
      </c>
      <c r="E7" s="22" t="s">
        <v>9</v>
      </c>
      <c r="F7" s="22" t="s">
        <v>10</v>
      </c>
      <c r="G7" s="22" t="s">
        <v>34</v>
      </c>
      <c r="H7" s="23"/>
    </row>
    <row r="8" spans="1:8" s="20" customFormat="1" ht="14.25">
      <c r="A8" s="21"/>
      <c r="B8" s="22"/>
      <c r="C8" s="22"/>
      <c r="D8" s="22"/>
      <c r="E8" s="22"/>
      <c r="F8" s="22"/>
      <c r="G8" s="22"/>
      <c r="H8" s="23"/>
    </row>
    <row r="9" spans="1:8" s="20" customFormat="1" ht="15">
      <c r="A9" s="24" t="s">
        <v>35</v>
      </c>
      <c r="B9" s="26">
        <v>9717028</v>
      </c>
      <c r="C9" s="26">
        <f>SDBIP!AJ11</f>
        <v>4508490</v>
      </c>
      <c r="D9" s="25">
        <v>4341282</v>
      </c>
      <c r="E9" s="27">
        <f>C9/B9</f>
        <v>0.46397828636492555</v>
      </c>
      <c r="F9" s="27">
        <f>+D9/B9</f>
        <v>0.44677055577075625</v>
      </c>
      <c r="G9" s="27">
        <f>+E9-F9</f>
        <v>0.0172077305941693</v>
      </c>
      <c r="H9" s="21" t="s">
        <v>8</v>
      </c>
    </row>
    <row r="10" spans="1:8" s="20" customFormat="1" ht="14.25" hidden="1">
      <c r="A10" s="23" t="s">
        <v>36</v>
      </c>
      <c r="B10" s="29">
        <v>2858485</v>
      </c>
      <c r="C10" s="29">
        <v>714621</v>
      </c>
      <c r="D10" s="28"/>
      <c r="E10" s="30">
        <v>0.25</v>
      </c>
      <c r="F10" s="27">
        <v>0.2269</v>
      </c>
      <c r="G10" s="27">
        <v>0.0231</v>
      </c>
      <c r="H10" s="23"/>
    </row>
    <row r="11" spans="1:8" s="20" customFormat="1" ht="14.25" hidden="1">
      <c r="A11" s="23" t="s">
        <v>37</v>
      </c>
      <c r="B11" s="29">
        <v>1419300</v>
      </c>
      <c r="C11" s="29">
        <v>354824.85</v>
      </c>
      <c r="D11" s="28"/>
      <c r="E11" s="30">
        <v>0.25</v>
      </c>
      <c r="F11" s="27">
        <v>0.1466</v>
      </c>
      <c r="G11" s="27">
        <v>0.1034</v>
      </c>
      <c r="H11" s="23"/>
    </row>
    <row r="12" spans="1:8" s="20" customFormat="1" ht="14.25" hidden="1">
      <c r="A12" s="23" t="s">
        <v>38</v>
      </c>
      <c r="B12" s="29">
        <v>17000</v>
      </c>
      <c r="C12" s="29">
        <v>4249.98</v>
      </c>
      <c r="D12" s="28"/>
      <c r="E12" s="30">
        <v>0.25</v>
      </c>
      <c r="F12" s="27">
        <v>0.0322</v>
      </c>
      <c r="G12" s="27">
        <v>0.2178</v>
      </c>
      <c r="H12" s="23"/>
    </row>
    <row r="13" spans="1:8" s="20" customFormat="1" ht="14.25" hidden="1">
      <c r="A13" s="23" t="s">
        <v>39</v>
      </c>
      <c r="B13" s="29">
        <v>10000</v>
      </c>
      <c r="C13" s="29">
        <v>2499.99</v>
      </c>
      <c r="D13" s="28"/>
      <c r="E13" s="30">
        <v>0.25</v>
      </c>
      <c r="F13" s="27">
        <v>0</v>
      </c>
      <c r="G13" s="27">
        <v>0.25</v>
      </c>
      <c r="H13" s="23"/>
    </row>
    <row r="14" spans="1:8" s="20" customFormat="1" ht="14.25" hidden="1">
      <c r="A14" s="23" t="s">
        <v>40</v>
      </c>
      <c r="B14" s="29">
        <v>160000</v>
      </c>
      <c r="C14" s="29">
        <v>39999.99</v>
      </c>
      <c r="D14" s="28"/>
      <c r="E14" s="30">
        <v>0.25</v>
      </c>
      <c r="F14" s="27">
        <v>0</v>
      </c>
      <c r="G14" s="27">
        <v>0.25</v>
      </c>
      <c r="H14" s="23"/>
    </row>
    <row r="15" spans="1:8" s="20" customFormat="1" ht="14.25">
      <c r="A15" s="23"/>
      <c r="B15" s="29" t="s">
        <v>8</v>
      </c>
      <c r="C15" s="26"/>
      <c r="D15" s="28"/>
      <c r="E15" s="30"/>
      <c r="F15" s="27"/>
      <c r="G15" s="27"/>
      <c r="H15" s="23"/>
    </row>
    <row r="16" spans="1:8" s="20" customFormat="1" ht="15.75">
      <c r="A16" s="31" t="s">
        <v>41</v>
      </c>
      <c r="B16" s="29">
        <v>6401888</v>
      </c>
      <c r="C16" s="26">
        <f>SDBIP!AJ12</f>
        <v>3030288</v>
      </c>
      <c r="D16" s="28">
        <v>2320738</v>
      </c>
      <c r="E16" s="27">
        <f>C16/B16</f>
        <v>0.4733428638551627</v>
      </c>
      <c r="F16" s="27">
        <f>+D16/B16</f>
        <v>0.3625083725301036</v>
      </c>
      <c r="G16" s="27">
        <f>+E16-F16</f>
        <v>0.11083449132505913</v>
      </c>
      <c r="H16" s="5" t="s">
        <v>15</v>
      </c>
    </row>
    <row r="17" spans="1:8" s="20" customFormat="1" ht="14.25" hidden="1">
      <c r="A17" s="23" t="s">
        <v>36</v>
      </c>
      <c r="B17" s="29">
        <v>1245735</v>
      </c>
      <c r="C17" s="29">
        <v>311433.6</v>
      </c>
      <c r="D17" s="28"/>
      <c r="E17" s="30">
        <v>0.25</v>
      </c>
      <c r="F17" s="27">
        <v>0.1438</v>
      </c>
      <c r="G17" s="27">
        <v>0.1062</v>
      </c>
      <c r="H17" s="23"/>
    </row>
    <row r="18" spans="1:8" s="20" customFormat="1" ht="14.25" hidden="1">
      <c r="A18" s="23" t="s">
        <v>37</v>
      </c>
      <c r="B18" s="29">
        <v>559500</v>
      </c>
      <c r="C18" s="29">
        <v>139874.85</v>
      </c>
      <c r="D18" s="28"/>
      <c r="E18" s="30">
        <v>0.25</v>
      </c>
      <c r="F18" s="27">
        <v>0.8229</v>
      </c>
      <c r="G18" s="27">
        <v>-0.5729</v>
      </c>
      <c r="H18" s="23"/>
    </row>
    <row r="19" spans="1:8" s="20" customFormat="1" ht="14.25" hidden="1">
      <c r="A19" s="23" t="s">
        <v>38</v>
      </c>
      <c r="B19" s="29">
        <v>1000</v>
      </c>
      <c r="C19" s="29">
        <v>249.99</v>
      </c>
      <c r="D19" s="28"/>
      <c r="E19" s="30">
        <v>0.25</v>
      </c>
      <c r="F19" s="32">
        <v>0</v>
      </c>
      <c r="G19" s="32">
        <v>0.25</v>
      </c>
      <c r="H19" s="23"/>
    </row>
    <row r="20" spans="1:8" s="20" customFormat="1" ht="14.25" hidden="1">
      <c r="A20" s="23" t="s">
        <v>39</v>
      </c>
      <c r="B20" s="29">
        <v>20000</v>
      </c>
      <c r="C20" s="29">
        <v>4999.98</v>
      </c>
      <c r="D20" s="28"/>
      <c r="E20" s="30">
        <v>0.25</v>
      </c>
      <c r="F20" s="32">
        <v>0</v>
      </c>
      <c r="G20" s="32">
        <v>0.25</v>
      </c>
      <c r="H20" s="23"/>
    </row>
    <row r="21" spans="1:8" s="20" customFormat="1" ht="14.25">
      <c r="A21" s="23"/>
      <c r="B21" s="29" t="s">
        <v>8</v>
      </c>
      <c r="C21" s="29"/>
      <c r="D21" s="28"/>
      <c r="E21" s="30"/>
      <c r="F21" s="32"/>
      <c r="G21" s="32"/>
      <c r="H21" s="23"/>
    </row>
    <row r="22" spans="1:8" s="20" customFormat="1" ht="15">
      <c r="A22" s="31" t="s">
        <v>42</v>
      </c>
      <c r="B22" s="29">
        <v>11999663</v>
      </c>
      <c r="C22" s="26">
        <f>SDBIP!AJ13</f>
        <v>5859944.5</v>
      </c>
      <c r="D22" s="28">
        <v>5402114</v>
      </c>
      <c r="E22" s="27">
        <f>C22/B22</f>
        <v>0.48834242261636845</v>
      </c>
      <c r="F22" s="27">
        <f>+D22/B22</f>
        <v>0.4501888094690659</v>
      </c>
      <c r="G22" s="27">
        <f>+E22-F22</f>
        <v>0.038153613147302534</v>
      </c>
      <c r="H22" s="192"/>
    </row>
    <row r="23" spans="1:8" s="20" customFormat="1" ht="14.25" hidden="1">
      <c r="A23" s="23" t="s">
        <v>36</v>
      </c>
      <c r="B23" s="29">
        <v>3126155</v>
      </c>
      <c r="C23" s="29">
        <v>781538.64</v>
      </c>
      <c r="D23" s="28"/>
      <c r="E23" s="30">
        <v>0.25</v>
      </c>
      <c r="F23" s="27">
        <v>0.165</v>
      </c>
      <c r="G23" s="27">
        <v>0.085</v>
      </c>
      <c r="H23" s="23"/>
    </row>
    <row r="24" spans="1:8" s="20" customFormat="1" ht="14.25" hidden="1">
      <c r="A24" s="23" t="s">
        <v>37</v>
      </c>
      <c r="B24" s="29">
        <v>707500</v>
      </c>
      <c r="C24" s="29">
        <v>176874.78</v>
      </c>
      <c r="D24" s="28"/>
      <c r="E24" s="30">
        <v>0.25</v>
      </c>
      <c r="F24" s="27">
        <v>0.1785</v>
      </c>
      <c r="G24" s="27">
        <v>0.0715</v>
      </c>
      <c r="H24" s="23"/>
    </row>
    <row r="25" spans="1:8" s="20" customFormat="1" ht="14.25" hidden="1">
      <c r="A25" s="23" t="s">
        <v>38</v>
      </c>
      <c r="B25" s="29">
        <v>103200</v>
      </c>
      <c r="C25" s="29">
        <v>25799.94</v>
      </c>
      <c r="D25" s="28"/>
      <c r="E25" s="30">
        <v>0.25</v>
      </c>
      <c r="F25" s="27">
        <v>0.1173</v>
      </c>
      <c r="G25" s="27">
        <v>0.1327</v>
      </c>
      <c r="H25" s="23"/>
    </row>
    <row r="26" spans="1:8" s="20" customFormat="1" ht="14.25" hidden="1">
      <c r="A26" s="23" t="s">
        <v>39</v>
      </c>
      <c r="B26" s="29">
        <v>207000</v>
      </c>
      <c r="C26" s="29">
        <v>51749.97</v>
      </c>
      <c r="D26" s="28"/>
      <c r="E26" s="30">
        <v>0.25</v>
      </c>
      <c r="F26" s="27">
        <v>0.0229</v>
      </c>
      <c r="G26" s="27">
        <v>0.2271</v>
      </c>
      <c r="H26" s="23"/>
    </row>
    <row r="27" spans="1:8" s="20" customFormat="1" ht="14.25">
      <c r="A27" s="23"/>
      <c r="B27" s="29" t="s">
        <v>8</v>
      </c>
      <c r="C27" s="29"/>
      <c r="D27" s="28"/>
      <c r="E27" s="30"/>
      <c r="F27" s="27"/>
      <c r="G27" s="27"/>
      <c r="H27" s="23"/>
    </row>
    <row r="28" spans="1:8" s="20" customFormat="1" ht="15">
      <c r="A28" s="31" t="s">
        <v>43</v>
      </c>
      <c r="B28" s="29">
        <v>3809693</v>
      </c>
      <c r="C28" s="26">
        <f>SDBIP!AJ14</f>
        <v>1878669</v>
      </c>
      <c r="D28" s="28">
        <v>1643500</v>
      </c>
      <c r="E28" s="27">
        <f>C28/B28</f>
        <v>0.49312871142110404</v>
      </c>
      <c r="F28" s="27">
        <f>+D28/B28</f>
        <v>0.43139959046568843</v>
      </c>
      <c r="G28" s="27">
        <f>+E28-F28</f>
        <v>0.061729120955415606</v>
      </c>
      <c r="H28" s="21"/>
    </row>
    <row r="29" spans="1:8" s="20" customFormat="1" ht="14.25" hidden="1">
      <c r="A29" s="23" t="s">
        <v>36</v>
      </c>
      <c r="B29" s="29">
        <v>1443510</v>
      </c>
      <c r="C29" s="29">
        <v>360877.41</v>
      </c>
      <c r="D29" s="28"/>
      <c r="E29" s="30">
        <v>0.25</v>
      </c>
      <c r="F29" s="27">
        <v>0.1594</v>
      </c>
      <c r="G29" s="27">
        <v>0.0906</v>
      </c>
      <c r="H29" s="23"/>
    </row>
    <row r="30" spans="1:8" s="20" customFormat="1" ht="14.25" hidden="1">
      <c r="A30" s="23" t="s">
        <v>44</v>
      </c>
      <c r="B30" s="29">
        <v>168000</v>
      </c>
      <c r="C30" s="29">
        <v>41999.88</v>
      </c>
      <c r="D30" s="28"/>
      <c r="E30" s="30">
        <v>0.25</v>
      </c>
      <c r="F30" s="27">
        <v>0.1457</v>
      </c>
      <c r="G30" s="27">
        <v>0.1043</v>
      </c>
      <c r="H30" s="23"/>
    </row>
    <row r="31" spans="1:8" s="20" customFormat="1" ht="14.25" hidden="1">
      <c r="A31" s="23" t="s">
        <v>38</v>
      </c>
      <c r="B31" s="29">
        <v>1000</v>
      </c>
      <c r="C31" s="29">
        <v>249.99</v>
      </c>
      <c r="D31" s="28"/>
      <c r="E31" s="30">
        <v>0.25</v>
      </c>
      <c r="F31" s="32">
        <v>0</v>
      </c>
      <c r="G31" s="32">
        <v>0.25</v>
      </c>
      <c r="H31" s="23"/>
    </row>
    <row r="32" spans="1:8" s="20" customFormat="1" ht="14.25" hidden="1">
      <c r="A32" s="23" t="s">
        <v>39</v>
      </c>
      <c r="B32" s="29">
        <v>35000</v>
      </c>
      <c r="C32" s="29">
        <v>8749.98</v>
      </c>
      <c r="D32" s="28"/>
      <c r="E32" s="30">
        <v>0.25</v>
      </c>
      <c r="F32" s="32">
        <v>0</v>
      </c>
      <c r="G32" s="32">
        <v>0.25</v>
      </c>
      <c r="H32" s="23"/>
    </row>
    <row r="33" spans="1:8" s="20" customFormat="1" ht="14.25">
      <c r="A33" s="23"/>
      <c r="B33" s="29" t="s">
        <v>8</v>
      </c>
      <c r="C33" s="29"/>
      <c r="D33" s="28"/>
      <c r="E33" s="30"/>
      <c r="F33" s="32"/>
      <c r="G33" s="32"/>
      <c r="H33" s="23"/>
    </row>
    <row r="34" spans="1:8" s="20" customFormat="1" ht="15.75">
      <c r="A34" s="31" t="s">
        <v>45</v>
      </c>
      <c r="B34" s="29">
        <v>2720969</v>
      </c>
      <c r="C34" s="26">
        <f>SDBIP!AJ15</f>
        <v>1330932.5</v>
      </c>
      <c r="D34" s="28">
        <v>1060455</v>
      </c>
      <c r="E34" s="27">
        <f>C34/B34</f>
        <v>0.48913916329072477</v>
      </c>
      <c r="F34" s="27">
        <f>+D34/B34</f>
        <v>0.3897343189135929</v>
      </c>
      <c r="G34" s="27">
        <f>+E34-F34</f>
        <v>0.09940484437713187</v>
      </c>
      <c r="H34" s="5"/>
    </row>
    <row r="35" spans="1:8" s="20" customFormat="1" ht="14.25" hidden="1">
      <c r="A35" s="23" t="s">
        <v>36</v>
      </c>
      <c r="B35" s="29">
        <v>999265</v>
      </c>
      <c r="C35" s="29">
        <v>249816.18</v>
      </c>
      <c r="D35" s="28"/>
      <c r="E35" s="30">
        <v>0.25</v>
      </c>
      <c r="F35" s="27">
        <v>0.2427</v>
      </c>
      <c r="G35" s="27">
        <v>0.0073</v>
      </c>
      <c r="H35" s="23"/>
    </row>
    <row r="36" spans="1:8" s="20" customFormat="1" ht="14.25" hidden="1">
      <c r="A36" s="23" t="s">
        <v>37</v>
      </c>
      <c r="B36" s="29">
        <v>203000</v>
      </c>
      <c r="C36" s="29">
        <v>50749.92</v>
      </c>
      <c r="D36" s="28"/>
      <c r="E36" s="30">
        <v>0.25</v>
      </c>
      <c r="F36" s="27">
        <v>0.1357</v>
      </c>
      <c r="G36" s="27">
        <v>0.1143</v>
      </c>
      <c r="H36" s="23"/>
    </row>
    <row r="37" spans="1:8" s="20" customFormat="1" ht="14.25" hidden="1">
      <c r="A37" s="23" t="s">
        <v>38</v>
      </c>
      <c r="B37" s="29">
        <v>1000</v>
      </c>
      <c r="C37" s="29">
        <v>249.99</v>
      </c>
      <c r="D37" s="28"/>
      <c r="E37" s="30">
        <v>0.25</v>
      </c>
      <c r="F37" s="32">
        <v>0</v>
      </c>
      <c r="G37" s="32">
        <v>0.25</v>
      </c>
      <c r="H37" s="23"/>
    </row>
    <row r="38" spans="1:8" s="20" customFormat="1" ht="14.25" hidden="1">
      <c r="A38" s="23" t="s">
        <v>39</v>
      </c>
      <c r="B38" s="29">
        <v>20000</v>
      </c>
      <c r="C38" s="29">
        <v>4999.98</v>
      </c>
      <c r="D38" s="28"/>
      <c r="E38" s="30">
        <v>0.25</v>
      </c>
      <c r="F38" s="32">
        <v>0</v>
      </c>
      <c r="G38" s="32">
        <v>0.25</v>
      </c>
      <c r="H38" s="23"/>
    </row>
    <row r="39" spans="1:8" s="20" customFormat="1" ht="14.25">
      <c r="A39" s="23"/>
      <c r="B39" s="29" t="s">
        <v>8</v>
      </c>
      <c r="C39" s="29"/>
      <c r="D39" s="28"/>
      <c r="E39" s="30"/>
      <c r="F39" s="32"/>
      <c r="G39" s="32"/>
      <c r="H39" s="23"/>
    </row>
    <row r="40" spans="1:8" s="20" customFormat="1" ht="15.75">
      <c r="A40" s="31" t="s">
        <v>46</v>
      </c>
      <c r="B40" s="29">
        <v>12080828</v>
      </c>
      <c r="C40" s="26">
        <f>SDBIP!AJ16</f>
        <v>5955904.5</v>
      </c>
      <c r="D40" s="28">
        <v>4463000</v>
      </c>
      <c r="E40" s="27">
        <f>C40/B40</f>
        <v>0.4930046599454938</v>
      </c>
      <c r="F40" s="27">
        <f>+D40/B40</f>
        <v>0.3694283206415984</v>
      </c>
      <c r="G40" s="27">
        <f>+E40-F40</f>
        <v>0.12357633930389539</v>
      </c>
      <c r="H40" s="5" t="s">
        <v>17</v>
      </c>
    </row>
    <row r="41" spans="1:8" s="20" customFormat="1" ht="14.25" hidden="1">
      <c r="A41" s="23" t="s">
        <v>36</v>
      </c>
      <c r="B41" s="29">
        <v>1894725</v>
      </c>
      <c r="C41" s="29">
        <v>473681.1</v>
      </c>
      <c r="D41" s="28"/>
      <c r="E41" s="30">
        <v>0.25</v>
      </c>
      <c r="F41" s="27">
        <v>0.1384</v>
      </c>
      <c r="G41" s="27">
        <v>0.1116</v>
      </c>
      <c r="H41" s="23"/>
    </row>
    <row r="42" spans="1:8" s="20" customFormat="1" ht="14.25" hidden="1">
      <c r="A42" s="23" t="s">
        <v>47</v>
      </c>
      <c r="B42" s="29">
        <v>2071535</v>
      </c>
      <c r="C42" s="29">
        <v>517883.64</v>
      </c>
      <c r="D42" s="28"/>
      <c r="E42" s="30">
        <v>0.25</v>
      </c>
      <c r="F42" s="27">
        <v>0.2116</v>
      </c>
      <c r="G42" s="27">
        <v>0.0384</v>
      </c>
      <c r="H42" s="23"/>
    </row>
    <row r="43" spans="1:8" s="20" customFormat="1" ht="14.25" hidden="1">
      <c r="A43" s="23" t="s">
        <v>37</v>
      </c>
      <c r="B43" s="29">
        <v>1700000</v>
      </c>
      <c r="C43" s="29">
        <v>424999.77</v>
      </c>
      <c r="D43" s="28"/>
      <c r="E43" s="30">
        <v>0.25</v>
      </c>
      <c r="F43" s="27">
        <v>0.1285</v>
      </c>
      <c r="G43" s="27">
        <v>0.1215</v>
      </c>
      <c r="H43" s="23"/>
    </row>
    <row r="44" spans="1:8" s="20" customFormat="1" ht="14.25" hidden="1">
      <c r="A44" s="23" t="s">
        <v>38</v>
      </c>
      <c r="B44" s="29">
        <v>8000</v>
      </c>
      <c r="C44" s="29">
        <v>1999.98</v>
      </c>
      <c r="D44" s="28"/>
      <c r="E44" s="30">
        <v>0.25</v>
      </c>
      <c r="F44" s="27">
        <v>0.1592</v>
      </c>
      <c r="G44" s="27">
        <v>0.0908</v>
      </c>
      <c r="H44" s="23"/>
    </row>
    <row r="45" spans="1:8" s="20" customFormat="1" ht="14.25" hidden="1">
      <c r="A45" s="23" t="s">
        <v>39</v>
      </c>
      <c r="B45" s="29">
        <v>507000</v>
      </c>
      <c r="C45" s="29">
        <v>126749.97</v>
      </c>
      <c r="D45" s="28"/>
      <c r="E45" s="30">
        <v>0.25</v>
      </c>
      <c r="F45" s="32">
        <v>0</v>
      </c>
      <c r="G45" s="32">
        <v>0.25</v>
      </c>
      <c r="H45" s="23"/>
    </row>
    <row r="46" spans="1:8" s="20" customFormat="1" ht="14.25">
      <c r="A46" s="23"/>
      <c r="B46" s="29" t="s">
        <v>8</v>
      </c>
      <c r="C46" s="29"/>
      <c r="D46" s="28"/>
      <c r="E46" s="30"/>
      <c r="F46" s="32"/>
      <c r="G46" s="32"/>
      <c r="H46" s="23"/>
    </row>
    <row r="47" spans="1:9" s="20" customFormat="1" ht="15">
      <c r="A47" s="31" t="s">
        <v>48</v>
      </c>
      <c r="B47" s="29">
        <v>1805935</v>
      </c>
      <c r="C47" s="26">
        <f>SDBIP!AJ17</f>
        <v>890422</v>
      </c>
      <c r="D47" s="28">
        <v>836711</v>
      </c>
      <c r="E47" s="27">
        <f>C47/B47</f>
        <v>0.49305318297723894</v>
      </c>
      <c r="F47" s="27">
        <f>+D47/B47</f>
        <v>0.46331180247351095</v>
      </c>
      <c r="G47" s="27">
        <f>+E47-F47</f>
        <v>0.029741380503727988</v>
      </c>
      <c r="H47" s="176"/>
      <c r="I47" s="33"/>
    </row>
    <row r="48" spans="1:8" s="20" customFormat="1" ht="14.25" hidden="1">
      <c r="A48" s="23" t="s">
        <v>36</v>
      </c>
      <c r="B48" s="29">
        <v>1647725</v>
      </c>
      <c r="C48" s="29">
        <v>411931.14</v>
      </c>
      <c r="D48" s="29"/>
      <c r="E48" s="30">
        <v>0.25</v>
      </c>
      <c r="F48" s="27">
        <v>0.1951</v>
      </c>
      <c r="G48" s="27">
        <v>0.0549</v>
      </c>
      <c r="H48" s="177"/>
    </row>
    <row r="49" spans="1:8" s="20" customFormat="1" ht="14.25" hidden="1">
      <c r="A49" s="23" t="s">
        <v>37</v>
      </c>
      <c r="B49" s="29">
        <v>278000</v>
      </c>
      <c r="C49" s="29">
        <v>69499.92</v>
      </c>
      <c r="D49" s="29"/>
      <c r="E49" s="30">
        <v>0.25</v>
      </c>
      <c r="F49" s="27">
        <v>0.0766</v>
      </c>
      <c r="G49" s="27">
        <v>0.1734</v>
      </c>
      <c r="H49" s="177"/>
    </row>
    <row r="50" spans="1:8" s="20" customFormat="1" ht="14.25" hidden="1">
      <c r="A50" s="34" t="s">
        <v>38</v>
      </c>
      <c r="B50" s="29">
        <v>2000</v>
      </c>
      <c r="C50" s="29">
        <v>499.98</v>
      </c>
      <c r="D50" s="29"/>
      <c r="E50" s="30">
        <v>0.25</v>
      </c>
      <c r="F50" s="32">
        <v>0</v>
      </c>
      <c r="G50" s="32">
        <v>0.25</v>
      </c>
      <c r="H50" s="177"/>
    </row>
    <row r="51" spans="1:8" s="20" customFormat="1" ht="14.25" hidden="1">
      <c r="A51" s="34" t="s">
        <v>39</v>
      </c>
      <c r="B51" s="29">
        <v>20000</v>
      </c>
      <c r="C51" s="29">
        <v>4999.98</v>
      </c>
      <c r="D51" s="29"/>
      <c r="E51" s="30">
        <v>0.25</v>
      </c>
      <c r="F51" s="32">
        <v>0</v>
      </c>
      <c r="G51" s="32">
        <v>0.25</v>
      </c>
      <c r="H51" s="177"/>
    </row>
    <row r="52" spans="1:8" s="20" customFormat="1" ht="14.25">
      <c r="A52" s="34"/>
      <c r="B52" s="29" t="s">
        <v>8</v>
      </c>
      <c r="C52" s="29"/>
      <c r="D52" s="29"/>
      <c r="E52" s="30"/>
      <c r="F52" s="32"/>
      <c r="G52" s="32"/>
      <c r="H52" s="177"/>
    </row>
    <row r="53" spans="1:8" s="20" customFormat="1" ht="15.75">
      <c r="A53" s="35" t="s">
        <v>24</v>
      </c>
      <c r="B53" s="29">
        <v>17518605</v>
      </c>
      <c r="C53" s="26">
        <f>SDBIP!AJ18</f>
        <v>8744302</v>
      </c>
      <c r="D53" s="29">
        <v>3983120</v>
      </c>
      <c r="E53" s="27">
        <f>C53/B53</f>
        <v>0.49914373889930164</v>
      </c>
      <c r="F53" s="27">
        <f>+D53/B53</f>
        <v>0.22736513552306248</v>
      </c>
      <c r="G53" s="27">
        <f>+E53-F53</f>
        <v>0.27177860337623916</v>
      </c>
      <c r="H53" s="5" t="s">
        <v>19</v>
      </c>
    </row>
    <row r="54" spans="1:8" s="20" customFormat="1" ht="14.25" hidden="1">
      <c r="A54" s="34" t="s">
        <v>49</v>
      </c>
      <c r="B54" s="29">
        <v>254000</v>
      </c>
      <c r="C54" s="29">
        <v>63500</v>
      </c>
      <c r="D54" s="29"/>
      <c r="E54" s="30">
        <v>0.25</v>
      </c>
      <c r="F54" s="32">
        <v>0</v>
      </c>
      <c r="G54" s="32">
        <v>0.25</v>
      </c>
      <c r="H54" s="177"/>
    </row>
    <row r="55" spans="1:8" s="20" customFormat="1" ht="14.25" hidden="1">
      <c r="A55" s="34" t="s">
        <v>50</v>
      </c>
      <c r="B55" s="29">
        <v>319000</v>
      </c>
      <c r="C55" s="29">
        <v>79750</v>
      </c>
      <c r="D55" s="29"/>
      <c r="E55" s="30">
        <v>0.25</v>
      </c>
      <c r="F55" s="27">
        <f>+D55/B55</f>
        <v>0</v>
      </c>
      <c r="G55" s="27">
        <f>+E55-F55</f>
        <v>0.25</v>
      </c>
      <c r="H55" s="177"/>
    </row>
    <row r="56" spans="1:8" s="20" customFormat="1" ht="14.25" hidden="1">
      <c r="A56" s="34" t="s">
        <v>51</v>
      </c>
      <c r="B56" s="29">
        <v>340000</v>
      </c>
      <c r="C56" s="29">
        <v>85000</v>
      </c>
      <c r="D56" s="29"/>
      <c r="E56" s="30">
        <v>0.25</v>
      </c>
      <c r="F56" s="27">
        <f>+D56/B56</f>
        <v>0</v>
      </c>
      <c r="G56" s="27">
        <f>+E56-F56</f>
        <v>0.25</v>
      </c>
      <c r="H56" s="177"/>
    </row>
    <row r="57" spans="1:8" s="20" customFormat="1" ht="14.25" hidden="1">
      <c r="A57" s="34" t="s">
        <v>52</v>
      </c>
      <c r="B57" s="29">
        <v>1606285</v>
      </c>
      <c r="C57" s="29">
        <v>401571</v>
      </c>
      <c r="D57" s="29"/>
      <c r="E57" s="30">
        <v>0.25</v>
      </c>
      <c r="F57" s="27">
        <f>+D57/B57</f>
        <v>0</v>
      </c>
      <c r="G57" s="27">
        <f>+E57-F57</f>
        <v>0.25</v>
      </c>
      <c r="H57" s="177"/>
    </row>
    <row r="58" spans="1:8" s="20" customFormat="1" ht="14.25" hidden="1">
      <c r="A58" s="34" t="s">
        <v>53</v>
      </c>
      <c r="B58" s="29">
        <v>222480</v>
      </c>
      <c r="C58" s="29">
        <v>55620</v>
      </c>
      <c r="D58" s="29"/>
      <c r="E58" s="30">
        <v>0.25</v>
      </c>
      <c r="F58" s="32">
        <v>0</v>
      </c>
      <c r="G58" s="32">
        <v>0.25</v>
      </c>
      <c r="H58" s="177"/>
    </row>
    <row r="59" spans="1:8" s="20" customFormat="1" ht="14.25" hidden="1">
      <c r="A59" s="34" t="s">
        <v>54</v>
      </c>
      <c r="B59" s="29">
        <v>110200</v>
      </c>
      <c r="C59" s="29">
        <v>27550</v>
      </c>
      <c r="D59" s="29"/>
      <c r="E59" s="30">
        <v>0.25</v>
      </c>
      <c r="F59" s="32">
        <v>0</v>
      </c>
      <c r="G59" s="32">
        <v>0.25</v>
      </c>
      <c r="H59" s="177"/>
    </row>
    <row r="60" spans="1:8" s="20" customFormat="1" ht="14.25">
      <c r="A60" s="34"/>
      <c r="B60" s="29" t="s">
        <v>8</v>
      </c>
      <c r="C60" s="29"/>
      <c r="D60" s="29"/>
      <c r="E60" s="30"/>
      <c r="F60" s="32"/>
      <c r="G60" s="32"/>
      <c r="H60" s="177"/>
    </row>
    <row r="61" spans="1:8" s="20" customFormat="1" ht="15.75">
      <c r="A61" s="35" t="s">
        <v>55</v>
      </c>
      <c r="B61" s="29">
        <v>12696134</v>
      </c>
      <c r="C61" s="26">
        <f>SDBIP!AJ19</f>
        <v>6176052.5</v>
      </c>
      <c r="D61" s="36">
        <v>4637816</v>
      </c>
      <c r="E61" s="27">
        <f>C61/B61</f>
        <v>0.48645142686742276</v>
      </c>
      <c r="F61" s="27">
        <f>+D61/B61</f>
        <v>0.36529356101629046</v>
      </c>
      <c r="G61" s="27">
        <f>+E61-F61</f>
        <v>0.12115786585113231</v>
      </c>
      <c r="H61" s="5" t="s">
        <v>272</v>
      </c>
    </row>
    <row r="62" spans="1:8" s="20" customFormat="1" ht="14.25" hidden="1">
      <c r="A62" s="34"/>
      <c r="B62" s="29" t="s">
        <v>8</v>
      </c>
      <c r="C62" s="29"/>
      <c r="D62" s="29"/>
      <c r="E62" s="30"/>
      <c r="F62" s="32"/>
      <c r="G62" s="32"/>
      <c r="H62" s="177"/>
    </row>
    <row r="63" spans="1:8" s="20" customFormat="1" ht="15" hidden="1">
      <c r="A63" s="35"/>
      <c r="B63" s="29"/>
      <c r="C63" s="26"/>
      <c r="D63" s="29"/>
      <c r="E63" s="27"/>
      <c r="F63" s="27"/>
      <c r="G63" s="27"/>
      <c r="H63" s="176"/>
    </row>
    <row r="64" spans="1:8" s="20" customFormat="1" ht="14.25" hidden="1">
      <c r="A64" s="34" t="s">
        <v>36</v>
      </c>
      <c r="B64" s="29">
        <v>872685</v>
      </c>
      <c r="C64" s="29">
        <v>218171.19</v>
      </c>
      <c r="D64" s="29"/>
      <c r="E64" s="30">
        <v>0.25</v>
      </c>
      <c r="F64" s="27">
        <v>0.12</v>
      </c>
      <c r="G64" s="27">
        <v>0.13</v>
      </c>
      <c r="H64" s="177"/>
    </row>
    <row r="65" spans="1:8" s="20" customFormat="1" ht="14.25" hidden="1">
      <c r="A65" s="34" t="s">
        <v>37</v>
      </c>
      <c r="B65" s="29">
        <v>2027315</v>
      </c>
      <c r="C65" s="29">
        <v>506828.64</v>
      </c>
      <c r="D65" s="29"/>
      <c r="E65" s="30">
        <v>0.25</v>
      </c>
      <c r="F65" s="27">
        <v>0.0092</v>
      </c>
      <c r="G65" s="27">
        <v>0.2408</v>
      </c>
      <c r="H65" s="177"/>
    </row>
    <row r="66" spans="1:8" s="20" customFormat="1" ht="14.25" hidden="1">
      <c r="A66" s="34" t="s">
        <v>38</v>
      </c>
      <c r="B66" s="29">
        <v>30000</v>
      </c>
      <c r="C66" s="29">
        <v>7499.97</v>
      </c>
      <c r="D66" s="29"/>
      <c r="E66" s="30">
        <v>0.25</v>
      </c>
      <c r="F66" s="27">
        <v>0.0808</v>
      </c>
      <c r="G66" s="27">
        <v>0.1692</v>
      </c>
      <c r="H66" s="177"/>
    </row>
    <row r="67" spans="1:8" s="20" customFormat="1" ht="14.25" hidden="1">
      <c r="A67" s="34" t="s">
        <v>39</v>
      </c>
      <c r="B67" s="29">
        <v>220000</v>
      </c>
      <c r="C67" s="29">
        <v>54999.96</v>
      </c>
      <c r="D67" s="29"/>
      <c r="E67" s="30">
        <v>0.25</v>
      </c>
      <c r="F67" s="32">
        <v>0</v>
      </c>
      <c r="G67" s="32">
        <v>0.25</v>
      </c>
      <c r="H67" s="177"/>
    </row>
    <row r="68" spans="1:8" s="20" customFormat="1" ht="14.25">
      <c r="A68" s="34"/>
      <c r="B68" s="29"/>
      <c r="C68" s="29"/>
      <c r="D68" s="29"/>
      <c r="E68" s="30"/>
      <c r="F68" s="32"/>
      <c r="G68" s="32"/>
      <c r="H68" s="177"/>
    </row>
    <row r="69" spans="1:8" s="20" customFormat="1" ht="15.75" hidden="1">
      <c r="A69" s="35"/>
      <c r="B69" s="29"/>
      <c r="C69" s="26"/>
      <c r="D69" s="227"/>
      <c r="E69" s="27"/>
      <c r="F69" s="27"/>
      <c r="G69" s="27"/>
      <c r="H69" s="5"/>
    </row>
    <row r="70" spans="1:8" s="20" customFormat="1" ht="14.25" hidden="1">
      <c r="A70" s="34"/>
      <c r="B70" s="29" t="s">
        <v>8</v>
      </c>
      <c r="C70" s="29" t="s">
        <v>178</v>
      </c>
      <c r="D70" s="29"/>
      <c r="E70" s="30"/>
      <c r="F70" s="32"/>
      <c r="G70" s="32"/>
      <c r="H70" s="177"/>
    </row>
    <row r="71" spans="1:8" s="20" customFormat="1" ht="15">
      <c r="A71" s="35" t="s">
        <v>56</v>
      </c>
      <c r="B71" s="29">
        <v>3461007</v>
      </c>
      <c r="C71" s="26">
        <f>SDBIP!AJ20</f>
        <v>1634076</v>
      </c>
      <c r="D71" s="29">
        <v>1539019</v>
      </c>
      <c r="E71" s="27">
        <f>C71/B71</f>
        <v>0.4721388890574333</v>
      </c>
      <c r="F71" s="27">
        <f>+D71/B71</f>
        <v>0.4446737611336816</v>
      </c>
      <c r="G71" s="37">
        <f>+E71-F71</f>
        <v>0.027465127923751664</v>
      </c>
      <c r="H71" s="176"/>
    </row>
    <row r="72" spans="1:8" s="20" customFormat="1" ht="14.25" hidden="1">
      <c r="A72" s="34" t="s">
        <v>36</v>
      </c>
      <c r="B72" s="29">
        <v>1295270</v>
      </c>
      <c r="C72" s="29">
        <v>323817.39</v>
      </c>
      <c r="D72" s="29">
        <v>312818.59</v>
      </c>
      <c r="E72" s="30">
        <v>0.25</v>
      </c>
      <c r="F72" s="27">
        <v>0.2415</v>
      </c>
      <c r="G72" s="27">
        <v>0.0085</v>
      </c>
      <c r="H72" s="23"/>
    </row>
    <row r="73" spans="1:8" s="20" customFormat="1" ht="14.25" hidden="1">
      <c r="A73" s="34" t="s">
        <v>37</v>
      </c>
      <c r="B73" s="29">
        <v>385400</v>
      </c>
      <c r="C73" s="29">
        <v>96349.83</v>
      </c>
      <c r="D73" s="29">
        <v>64853.83</v>
      </c>
      <c r="E73" s="30">
        <v>0.25</v>
      </c>
      <c r="F73" s="27">
        <v>0.1682</v>
      </c>
      <c r="G73" s="27">
        <v>0.0818</v>
      </c>
      <c r="H73" s="23"/>
    </row>
    <row r="74" spans="1:8" s="20" customFormat="1" ht="14.25" hidden="1">
      <c r="A74" s="34" t="s">
        <v>38</v>
      </c>
      <c r="B74" s="29">
        <v>106000</v>
      </c>
      <c r="C74" s="29">
        <v>26499.96</v>
      </c>
      <c r="D74" s="29">
        <v>14261.99</v>
      </c>
      <c r="E74" s="30">
        <v>0.25</v>
      </c>
      <c r="F74" s="27">
        <v>0.1345</v>
      </c>
      <c r="G74" s="27">
        <v>0.1155</v>
      </c>
      <c r="H74" s="23"/>
    </row>
    <row r="75" spans="1:8" s="20" customFormat="1" ht="14.25" hidden="1">
      <c r="A75" s="34" t="s">
        <v>39</v>
      </c>
      <c r="B75" s="29">
        <v>60000</v>
      </c>
      <c r="C75" s="29">
        <v>15000</v>
      </c>
      <c r="D75" s="29">
        <v>0</v>
      </c>
      <c r="E75" s="30">
        <v>0.25</v>
      </c>
      <c r="F75" s="32">
        <v>0</v>
      </c>
      <c r="G75" s="32">
        <v>0.25</v>
      </c>
      <c r="H75" s="23"/>
    </row>
    <row r="76" spans="1:8" s="20" customFormat="1" ht="14.25">
      <c r="A76" s="34"/>
      <c r="B76" s="29" t="s">
        <v>8</v>
      </c>
      <c r="C76" s="29"/>
      <c r="D76" s="28"/>
      <c r="E76" s="30"/>
      <c r="F76" s="27"/>
      <c r="G76" s="27"/>
      <c r="H76" s="23"/>
    </row>
    <row r="77" spans="1:8" s="41" customFormat="1" ht="15">
      <c r="A77" s="35" t="s">
        <v>57</v>
      </c>
      <c r="B77" s="38">
        <f>+B9+B16+B22+B28+B34+B40+B47+B53+B61+B69+B71</f>
        <v>82211750</v>
      </c>
      <c r="C77" s="39">
        <f>+C9+C16+C22+C28+C34+C40+C47+C53+C61+C69+C71</f>
        <v>40009081</v>
      </c>
      <c r="D77" s="39">
        <f>+D9+D16+D22+D28+D34+D40+D47+D53+D61+D71</f>
        <v>30227755</v>
      </c>
      <c r="E77" s="40">
        <f>C77/B77</f>
        <v>0.48665891432793973</v>
      </c>
      <c r="F77" s="40">
        <f>+D77/B77</f>
        <v>0.3676816878365927</v>
      </c>
      <c r="G77" s="40">
        <f>+E77-F77</f>
        <v>0.11897722649134701</v>
      </c>
      <c r="H77" s="31"/>
    </row>
    <row r="78" spans="1:8" s="20" customFormat="1" ht="14.25">
      <c r="A78" s="34"/>
      <c r="B78" s="29"/>
      <c r="C78" s="29"/>
      <c r="D78" s="29"/>
      <c r="E78" s="32"/>
      <c r="F78" s="27"/>
      <c r="G78" s="27"/>
      <c r="H78" s="23"/>
    </row>
    <row r="79" spans="1:8" s="20" customFormat="1" ht="14.25">
      <c r="A79" s="23"/>
      <c r="B79" s="42"/>
      <c r="C79" s="42"/>
      <c r="D79" s="42"/>
      <c r="E79" s="23"/>
      <c r="F79" s="21"/>
      <c r="G79" s="21"/>
      <c r="H79" s="23"/>
    </row>
    <row r="80" s="20" customFormat="1" ht="14.25"/>
    <row r="81" s="20" customFormat="1" ht="14.25"/>
    <row r="82" s="20" customFormat="1" ht="14.25"/>
    <row r="83" s="20" customFormat="1" ht="14.25"/>
    <row r="84" s="20" customFormat="1" ht="14.25"/>
    <row r="85" s="20" customFormat="1" ht="14.25"/>
    <row r="86" s="20" customFormat="1" ht="14.25"/>
    <row r="87" s="20" customFormat="1" ht="14.25"/>
    <row r="88" s="20" customFormat="1" ht="14.25"/>
    <row r="89" s="20" customFormat="1" ht="14.25"/>
  </sheetData>
  <sheetProtection/>
  <mergeCells count="3">
    <mergeCell ref="A1:H1"/>
    <mergeCell ref="A2:H2"/>
    <mergeCell ref="A3:H3"/>
  </mergeCells>
  <printOptions/>
  <pageMargins left="0.43" right="0.15763888888888888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4">
      <selection activeCell="B48" sqref="B48"/>
    </sheetView>
  </sheetViews>
  <sheetFormatPr defaultColWidth="9.140625" defaultRowHeight="12.75"/>
  <cols>
    <col min="1" max="1" width="11.421875" style="15" customWidth="1"/>
    <col min="2" max="2" width="44.28125" style="0" customWidth="1"/>
    <col min="3" max="3" width="12.7109375" style="0" customWidth="1"/>
    <col min="4" max="4" width="13.421875" style="0" customWidth="1"/>
    <col min="5" max="5" width="12.140625" style="0" customWidth="1"/>
  </cols>
  <sheetData>
    <row r="1" spans="1:5" ht="18">
      <c r="A1" s="346" t="s">
        <v>58</v>
      </c>
      <c r="B1" s="346"/>
      <c r="C1" s="346"/>
      <c r="D1" s="346"/>
      <c r="E1" s="346"/>
    </row>
    <row r="2" spans="1:5" ht="15.75">
      <c r="A2" s="347" t="s">
        <v>59</v>
      </c>
      <c r="B2" s="347"/>
      <c r="C2" s="347"/>
      <c r="D2" s="347"/>
      <c r="E2" s="347"/>
    </row>
    <row r="3" spans="1:8" ht="15.75">
      <c r="A3" s="347" t="s">
        <v>278</v>
      </c>
      <c r="B3" s="347"/>
      <c r="C3" s="347"/>
      <c r="D3" s="347"/>
      <c r="E3" s="347"/>
      <c r="F3" s="43"/>
      <c r="G3" s="43"/>
      <c r="H3" s="43"/>
    </row>
    <row r="4" spans="2:4" ht="12.75">
      <c r="B4" s="1"/>
      <c r="C4" s="1"/>
      <c r="D4" s="1"/>
    </row>
    <row r="6" spans="1:5" ht="45">
      <c r="A6" s="18" t="s">
        <v>60</v>
      </c>
      <c r="B6" s="18" t="s">
        <v>61</v>
      </c>
      <c r="C6" s="18" t="s">
        <v>62</v>
      </c>
      <c r="D6" s="18" t="s">
        <v>63</v>
      </c>
      <c r="E6" s="18" t="s">
        <v>64</v>
      </c>
    </row>
    <row r="7" spans="1:5" ht="14.25" hidden="1">
      <c r="A7" s="22"/>
      <c r="B7" s="44"/>
      <c r="C7" s="44"/>
      <c r="D7" s="44"/>
      <c r="E7" s="23"/>
    </row>
    <row r="8" spans="1:5" ht="14.25" hidden="1">
      <c r="A8" s="21"/>
      <c r="B8" s="23"/>
      <c r="C8" s="23"/>
      <c r="D8" s="23"/>
      <c r="E8" s="23"/>
    </row>
    <row r="9" spans="1:5" ht="14.25" hidden="1">
      <c r="A9" s="21"/>
      <c r="B9" s="23"/>
      <c r="C9" s="28"/>
      <c r="D9" s="28"/>
      <c r="E9" s="27"/>
    </row>
    <row r="10" spans="1:5" ht="14.25">
      <c r="A10" s="21"/>
      <c r="B10" s="23"/>
      <c r="C10" s="28"/>
      <c r="D10" s="298"/>
      <c r="E10" s="23"/>
    </row>
    <row r="11" spans="1:5" ht="28.5">
      <c r="A11" s="21" t="s">
        <v>187</v>
      </c>
      <c r="B11" s="292" t="s">
        <v>295</v>
      </c>
      <c r="C11" s="293">
        <v>2110000</v>
      </c>
      <c r="D11" s="28">
        <v>57628</v>
      </c>
      <c r="E11" s="294">
        <f>+D11/C11</f>
        <v>0.027311848341232226</v>
      </c>
    </row>
    <row r="12" spans="1:5" ht="14.25">
      <c r="A12" s="21"/>
      <c r="B12" s="23"/>
      <c r="C12" s="293"/>
      <c r="D12" s="330" t="s">
        <v>8</v>
      </c>
      <c r="E12" s="57"/>
    </row>
    <row r="13" spans="1:5" ht="14.25">
      <c r="A13" s="21" t="s">
        <v>65</v>
      </c>
      <c r="B13" s="23" t="s">
        <v>73</v>
      </c>
      <c r="C13" s="293">
        <v>10975200</v>
      </c>
      <c r="D13" s="28">
        <v>30905</v>
      </c>
      <c r="E13" s="294">
        <f>+D13/C13</f>
        <v>0.0028158940155988046</v>
      </c>
    </row>
    <row r="14" spans="1:5" ht="14.25">
      <c r="A14" s="21"/>
      <c r="B14" s="23"/>
      <c r="C14" s="293"/>
      <c r="D14" s="331"/>
      <c r="E14" s="294"/>
    </row>
    <row r="15" spans="1:5" ht="14.25">
      <c r="A15" s="21" t="s">
        <v>66</v>
      </c>
      <c r="B15" s="23" t="s">
        <v>24</v>
      </c>
      <c r="C15" s="293">
        <v>100000</v>
      </c>
      <c r="D15" s="331">
        <v>0</v>
      </c>
      <c r="E15" s="294">
        <f>+D15/C15</f>
        <v>0</v>
      </c>
    </row>
    <row r="16" spans="1:5" ht="14.25">
      <c r="A16" s="21"/>
      <c r="B16" s="23"/>
      <c r="C16" s="293"/>
      <c r="D16" s="330"/>
      <c r="E16" s="294"/>
    </row>
    <row r="17" spans="1:5" ht="14.25">
      <c r="A17" s="21" t="s">
        <v>199</v>
      </c>
      <c r="B17" s="23" t="s">
        <v>188</v>
      </c>
      <c r="C17" s="293">
        <v>2250000</v>
      </c>
      <c r="D17" s="28">
        <v>137588</v>
      </c>
      <c r="E17" s="294">
        <f>+D17/C17</f>
        <v>0.061150222222222224</v>
      </c>
    </row>
    <row r="18" spans="1:5" ht="14.25">
      <c r="A18" s="21"/>
      <c r="B18" s="23"/>
      <c r="C18" s="293"/>
      <c r="D18" s="331"/>
      <c r="E18" s="294"/>
    </row>
    <row r="19" spans="1:5" ht="14.25">
      <c r="A19" s="21" t="s">
        <v>69</v>
      </c>
      <c r="B19" s="23" t="s">
        <v>200</v>
      </c>
      <c r="C19" s="293">
        <v>4875000</v>
      </c>
      <c r="D19" s="28">
        <v>6524</v>
      </c>
      <c r="E19" s="294">
        <f>+D19/C19</f>
        <v>0.0013382564102564103</v>
      </c>
    </row>
    <row r="20" spans="1:5" ht="14.25">
      <c r="A20" s="21"/>
      <c r="B20" s="23"/>
      <c r="C20" s="293"/>
      <c r="D20" s="330"/>
      <c r="E20" s="57"/>
    </row>
    <row r="21" spans="1:5" ht="14.25">
      <c r="A21" s="21" t="s">
        <v>71</v>
      </c>
      <c r="B21" s="23" t="s">
        <v>189</v>
      </c>
      <c r="C21" s="293">
        <v>12586945</v>
      </c>
      <c r="D21" s="28">
        <v>209908</v>
      </c>
      <c r="E21" s="294">
        <f>+D21/C21</f>
        <v>0.016676643935442634</v>
      </c>
    </row>
    <row r="22" spans="1:5" ht="14.25">
      <c r="A22" s="21"/>
      <c r="B22" s="23"/>
      <c r="C22" s="293"/>
      <c r="D22" s="330"/>
      <c r="E22" s="57"/>
    </row>
    <row r="23" spans="1:5" ht="14.25">
      <c r="A23" s="21" t="s">
        <v>72</v>
      </c>
      <c r="B23" s="23" t="s">
        <v>56</v>
      </c>
      <c r="C23" s="293">
        <v>2934048</v>
      </c>
      <c r="D23" s="28">
        <v>102000</v>
      </c>
      <c r="E23" s="294">
        <f>+D23/C23</f>
        <v>0.03476425743546118</v>
      </c>
    </row>
    <row r="24" spans="1:5" ht="14.25">
      <c r="A24" s="21"/>
      <c r="B24" s="23"/>
      <c r="C24" s="293"/>
      <c r="D24" s="330"/>
      <c r="E24" s="57"/>
    </row>
    <row r="25" spans="1:5" ht="14.25">
      <c r="A25" s="21" t="s">
        <v>201</v>
      </c>
      <c r="B25" s="23" t="s">
        <v>191</v>
      </c>
      <c r="C25" s="293">
        <v>3320000</v>
      </c>
      <c r="D25" s="28">
        <v>661936</v>
      </c>
      <c r="E25" s="294">
        <f>+D25/C25</f>
        <v>0.19937831325301206</v>
      </c>
    </row>
    <row r="26" spans="1:5" ht="14.25">
      <c r="A26" s="21"/>
      <c r="B26" s="23"/>
      <c r="C26" s="293"/>
      <c r="D26" s="330"/>
      <c r="E26" s="294"/>
    </row>
    <row r="27" spans="1:5" ht="14.25">
      <c r="A27" s="21" t="s">
        <v>202</v>
      </c>
      <c r="B27" s="23" t="s">
        <v>70</v>
      </c>
      <c r="C27" s="293">
        <v>2500000</v>
      </c>
      <c r="D27" s="28">
        <v>153355</v>
      </c>
      <c r="E27" s="294">
        <f>+D27/C27</f>
        <v>0.061342</v>
      </c>
    </row>
    <row r="28" spans="1:5" ht="14.25">
      <c r="A28" s="21"/>
      <c r="B28" s="23"/>
      <c r="C28" s="293"/>
      <c r="D28" s="331"/>
      <c r="E28" s="294"/>
    </row>
    <row r="29" spans="1:5" ht="14.25">
      <c r="A29" s="21" t="s">
        <v>74</v>
      </c>
      <c r="B29" s="23" t="s">
        <v>68</v>
      </c>
      <c r="C29" s="293">
        <v>225000</v>
      </c>
      <c r="D29" s="28">
        <v>6255</v>
      </c>
      <c r="E29" s="294">
        <f>+D29/C29</f>
        <v>0.0278</v>
      </c>
    </row>
    <row r="30" spans="1:5" ht="14.25">
      <c r="A30" s="21"/>
      <c r="B30" s="23"/>
      <c r="C30" s="293"/>
      <c r="D30" s="331"/>
      <c r="E30" s="294"/>
    </row>
    <row r="31" spans="1:5" ht="14.25">
      <c r="A31" s="21" t="s">
        <v>203</v>
      </c>
      <c r="B31" s="23" t="s">
        <v>205</v>
      </c>
      <c r="C31" s="293">
        <v>500000</v>
      </c>
      <c r="D31" s="331">
        <v>0</v>
      </c>
      <c r="E31" s="294">
        <f>+D31/C31</f>
        <v>0</v>
      </c>
    </row>
    <row r="32" spans="1:5" ht="14.25">
      <c r="A32" s="21"/>
      <c r="B32" s="23"/>
      <c r="C32" s="293"/>
      <c r="D32" s="330"/>
      <c r="E32" s="57"/>
    </row>
    <row r="33" spans="1:5" ht="14.25">
      <c r="A33" s="21" t="s">
        <v>190</v>
      </c>
      <c r="B33" s="23" t="s">
        <v>76</v>
      </c>
      <c r="C33" s="293">
        <v>500000</v>
      </c>
      <c r="D33" s="331">
        <v>0</v>
      </c>
      <c r="E33" s="294">
        <f>+D33/C33</f>
        <v>0</v>
      </c>
    </row>
    <row r="34" spans="1:5" ht="14.25">
      <c r="A34" s="21"/>
      <c r="B34" s="23"/>
      <c r="C34" s="293"/>
      <c r="D34" s="330"/>
      <c r="E34" s="57"/>
    </row>
    <row r="35" spans="1:5" ht="14.25">
      <c r="A35" s="21" t="s">
        <v>204</v>
      </c>
      <c r="B35" s="23" t="s">
        <v>206</v>
      </c>
      <c r="C35" s="293">
        <v>3000000</v>
      </c>
      <c r="D35" s="331">
        <v>0</v>
      </c>
      <c r="E35" s="294">
        <f>+D35/C35</f>
        <v>0</v>
      </c>
    </row>
    <row r="36" spans="1:5" ht="14.25">
      <c r="A36" s="21"/>
      <c r="B36" s="23"/>
      <c r="C36" s="293"/>
      <c r="D36" s="330"/>
      <c r="E36" s="57"/>
    </row>
    <row r="37" spans="1:5" ht="14.25">
      <c r="A37" s="21"/>
      <c r="B37" s="23"/>
      <c r="C37" s="293"/>
      <c r="D37" s="295"/>
      <c r="E37" s="57"/>
    </row>
    <row r="38" spans="1:5" s="47" customFormat="1" ht="15">
      <c r="A38" s="45"/>
      <c r="B38" s="31" t="s">
        <v>77</v>
      </c>
      <c r="C38" s="296">
        <f>SUM(C9:C37)</f>
        <v>45876193</v>
      </c>
      <c r="D38" s="300">
        <f>SUM(D9:D36)</f>
        <v>1366099</v>
      </c>
      <c r="E38" s="297">
        <f>+D38/C38</f>
        <v>0.029777950406652095</v>
      </c>
    </row>
    <row r="39" spans="1:5" s="47" customFormat="1" ht="15">
      <c r="A39" s="45"/>
      <c r="B39" s="31"/>
      <c r="C39" s="46"/>
      <c r="D39" s="299"/>
      <c r="E39" s="31"/>
    </row>
    <row r="40" spans="1:5" ht="14.25">
      <c r="A40" s="21"/>
      <c r="B40" s="23"/>
      <c r="C40" s="42"/>
      <c r="D40" s="42"/>
      <c r="E40" s="23"/>
    </row>
  </sheetData>
  <sheetProtection/>
  <mergeCells count="3">
    <mergeCell ref="A1:E1"/>
    <mergeCell ref="A2:E2"/>
    <mergeCell ref="A3:E3"/>
  </mergeCells>
  <printOptions/>
  <pageMargins left="0.6299212598425197" right="0.4724409448818898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0"/>
  <sheetViews>
    <sheetView zoomScalePageLayoutView="0" workbookViewId="0" topLeftCell="A1">
      <pane xSplit="2" ySplit="8" topLeftCell="AL9" activePane="bottomRight" state="frozen"/>
      <selection pane="topLeft" activeCell="T27" sqref="T27"/>
      <selection pane="topRight" activeCell="T27" sqref="T27"/>
      <selection pane="bottomLeft" activeCell="T27" sqref="T27"/>
      <selection pane="bottomRight" activeCell="CA21" sqref="CA21"/>
    </sheetView>
  </sheetViews>
  <sheetFormatPr defaultColWidth="9.140625" defaultRowHeight="12.75"/>
  <cols>
    <col min="1" max="1" width="9.140625" style="244" customWidth="1"/>
    <col min="2" max="2" width="41.140625" style="243" customWidth="1"/>
    <col min="3" max="3" width="13.8515625" style="240" hidden="1" customWidth="1"/>
    <col min="4" max="5" width="14.28125" style="240" hidden="1" customWidth="1"/>
    <col min="6" max="6" width="14.57421875" style="240" hidden="1" customWidth="1"/>
    <col min="7" max="8" width="13.8515625" style="240" hidden="1" customWidth="1"/>
    <col min="9" max="9" width="15.00390625" style="240" hidden="1" customWidth="1"/>
    <col min="10" max="11" width="14.28125" style="240" hidden="1" customWidth="1"/>
    <col min="12" max="12" width="13.8515625" style="240" hidden="1" customWidth="1"/>
    <col min="13" max="15" width="14.57421875" style="240" hidden="1" customWidth="1"/>
    <col min="16" max="16" width="15.00390625" style="240" hidden="1" customWidth="1"/>
    <col min="17" max="17" width="0.42578125" style="240" hidden="1" customWidth="1"/>
    <col min="18" max="18" width="12.00390625" style="241" hidden="1" customWidth="1"/>
    <col min="19" max="19" width="10.7109375" style="241" hidden="1" customWidth="1"/>
    <col min="20" max="21" width="10.28125" style="240" hidden="1" customWidth="1"/>
    <col min="22" max="22" width="11.7109375" style="240" hidden="1" customWidth="1"/>
    <col min="23" max="23" width="11.421875" style="240" hidden="1" customWidth="1"/>
    <col min="24" max="24" width="11.57421875" style="240" hidden="1" customWidth="1"/>
    <col min="25" max="25" width="10.28125" style="240" hidden="1" customWidth="1"/>
    <col min="26" max="26" width="10.421875" style="240" hidden="1" customWidth="1"/>
    <col min="27" max="27" width="10.7109375" style="240" hidden="1" customWidth="1"/>
    <col min="28" max="28" width="11.140625" style="240" hidden="1" customWidth="1"/>
    <col min="29" max="29" width="11.421875" style="240" hidden="1" customWidth="1"/>
    <col min="30" max="31" width="11.140625" style="240" hidden="1" customWidth="1"/>
    <col min="32" max="32" width="11.57421875" style="240" hidden="1" customWidth="1"/>
    <col min="33" max="33" width="11.28125" style="240" hidden="1" customWidth="1"/>
    <col min="34" max="34" width="11.8515625" style="240" hidden="1" customWidth="1"/>
    <col min="35" max="35" width="12.140625" style="240" hidden="1" customWidth="1"/>
    <col min="36" max="36" width="10.421875" style="240" customWidth="1"/>
    <col min="37" max="38" width="10.00390625" style="240" customWidth="1"/>
    <col min="39" max="39" width="10.421875" style="240" customWidth="1"/>
    <col min="40" max="40" width="10.7109375" style="240" customWidth="1"/>
    <col min="41" max="41" width="12.7109375" style="240" customWidth="1"/>
    <col min="42" max="42" width="10.421875" style="240" hidden="1" customWidth="1"/>
    <col min="43" max="43" width="10.8515625" style="240" hidden="1" customWidth="1"/>
    <col min="44" max="45" width="10.421875" style="240" hidden="1" customWidth="1"/>
    <col min="46" max="47" width="10.7109375" style="240" hidden="1" customWidth="1"/>
    <col min="48" max="49" width="10.8515625" style="240" hidden="1" customWidth="1"/>
    <col min="50" max="50" width="11.421875" style="240" hidden="1" customWidth="1"/>
    <col min="51" max="51" width="11.28125" style="240" hidden="1" customWidth="1"/>
    <col min="52" max="52" width="11.8515625" style="240" hidden="1" customWidth="1"/>
    <col min="53" max="53" width="11.00390625" style="240" hidden="1" customWidth="1"/>
    <col min="54" max="54" width="11.421875" style="240" hidden="1" customWidth="1"/>
    <col min="55" max="55" width="10.8515625" style="240" hidden="1" customWidth="1"/>
    <col min="56" max="56" width="9.421875" style="240" hidden="1" customWidth="1"/>
    <col min="57" max="57" width="9.140625" style="240" hidden="1" customWidth="1"/>
    <col min="58" max="58" width="10.00390625" style="240" hidden="1" customWidth="1"/>
    <col min="59" max="59" width="10.28125" style="240" hidden="1" customWidth="1"/>
    <col min="60" max="60" width="10.57421875" style="240" hidden="1" customWidth="1"/>
    <col min="61" max="61" width="11.00390625" style="240" hidden="1" customWidth="1"/>
    <col min="62" max="62" width="10.7109375" style="240" hidden="1" customWidth="1"/>
    <col min="63" max="63" width="11.00390625" style="240" hidden="1" customWidth="1"/>
    <col min="64" max="64" width="10.140625" style="240" hidden="1" customWidth="1"/>
    <col min="65" max="65" width="9.57421875" style="240" hidden="1" customWidth="1"/>
    <col min="66" max="66" width="9.28125" style="240" hidden="1" customWidth="1"/>
    <col min="67" max="67" width="9.140625" style="240" hidden="1" customWidth="1"/>
    <col min="68" max="68" width="8.57421875" style="240" hidden="1" customWidth="1"/>
    <col min="69" max="69" width="8.140625" style="240" hidden="1" customWidth="1"/>
    <col min="70" max="70" width="8.28125" style="240" hidden="1" customWidth="1"/>
    <col min="71" max="71" width="7.57421875" style="240" hidden="1" customWidth="1"/>
    <col min="72" max="72" width="5.421875" style="240" hidden="1" customWidth="1"/>
    <col min="73" max="73" width="13.8515625" style="240" hidden="1" customWidth="1"/>
    <col min="74" max="74" width="12.28125" style="240" hidden="1" customWidth="1"/>
    <col min="75" max="75" width="10.8515625" style="240" hidden="1" customWidth="1"/>
    <col min="76" max="76" width="9.57421875" style="240" hidden="1" customWidth="1"/>
    <col min="77" max="77" width="7.8515625" style="240" hidden="1" customWidth="1"/>
    <col min="78" max="78" width="10.7109375" style="242" customWidth="1"/>
    <col min="79" max="79" width="18.140625" style="240" customWidth="1"/>
    <col min="80" max="80" width="10.7109375" style="241" customWidth="1"/>
    <col min="81" max="81" width="10.140625" style="240" bestFit="1" customWidth="1"/>
    <col min="82" max="82" width="10.7109375" style="240" customWidth="1"/>
    <col min="83" max="83" width="10.28125" style="240" bestFit="1" customWidth="1"/>
    <col min="84" max="84" width="8.7109375" style="240" bestFit="1" customWidth="1"/>
    <col min="85" max="85" width="9.7109375" style="240" bestFit="1" customWidth="1"/>
    <col min="86" max="16384" width="9.140625" style="240" customWidth="1"/>
  </cols>
  <sheetData>
    <row r="1" spans="1:9" ht="18">
      <c r="A1" s="49" t="s">
        <v>78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50" t="s">
        <v>179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0" t="s">
        <v>291</v>
      </c>
      <c r="B3" s="48"/>
      <c r="C3" s="50"/>
      <c r="D3" s="50"/>
      <c r="E3" s="50"/>
      <c r="F3" s="50"/>
      <c r="G3" s="50"/>
      <c r="H3" s="50"/>
      <c r="I3" s="50"/>
    </row>
    <row r="4" spans="1:9" ht="13.5" thickBot="1">
      <c r="A4" s="348" t="s">
        <v>79</v>
      </c>
      <c r="B4" s="348"/>
      <c r="C4" s="348"/>
      <c r="D4" s="348"/>
      <c r="E4" s="348"/>
      <c r="F4" s="348"/>
      <c r="G4" s="348"/>
      <c r="H4" s="348"/>
      <c r="I4" s="348"/>
    </row>
    <row r="5" spans="1:80" s="247" customFormat="1" ht="14.25" thickBot="1" thickTop="1">
      <c r="A5" s="288"/>
      <c r="B5" s="251"/>
      <c r="C5" s="352" t="s">
        <v>80</v>
      </c>
      <c r="D5" s="353"/>
      <c r="E5" s="353"/>
      <c r="F5" s="353"/>
      <c r="G5" s="353"/>
      <c r="H5" s="353"/>
      <c r="I5" s="353"/>
      <c r="J5" s="354"/>
      <c r="K5" s="290"/>
      <c r="L5" s="355" t="s">
        <v>81</v>
      </c>
      <c r="M5" s="355"/>
      <c r="N5" s="355"/>
      <c r="O5" s="355"/>
      <c r="P5" s="355"/>
      <c r="Q5" s="355"/>
      <c r="R5" s="355" t="s">
        <v>82</v>
      </c>
      <c r="S5" s="355"/>
      <c r="T5" s="355"/>
      <c r="U5" s="355"/>
      <c r="V5" s="355"/>
      <c r="W5" s="355"/>
      <c r="X5" s="349" t="s">
        <v>83</v>
      </c>
      <c r="Y5" s="350"/>
      <c r="Z5" s="350"/>
      <c r="AA5" s="350"/>
      <c r="AB5" s="350"/>
      <c r="AC5" s="351"/>
      <c r="AD5" s="349" t="s">
        <v>84</v>
      </c>
      <c r="AE5" s="350"/>
      <c r="AF5" s="350"/>
      <c r="AG5" s="350"/>
      <c r="AH5" s="350"/>
      <c r="AI5" s="351"/>
      <c r="AJ5" s="349" t="s">
        <v>85</v>
      </c>
      <c r="AK5" s="350"/>
      <c r="AL5" s="350"/>
      <c r="AM5" s="350"/>
      <c r="AN5" s="350"/>
      <c r="AO5" s="351"/>
      <c r="AP5" s="349" t="s">
        <v>86</v>
      </c>
      <c r="AQ5" s="350"/>
      <c r="AR5" s="350"/>
      <c r="AS5" s="350"/>
      <c r="AT5" s="350"/>
      <c r="AU5" s="351"/>
      <c r="AV5" s="349" t="s">
        <v>87</v>
      </c>
      <c r="AW5" s="350"/>
      <c r="AX5" s="350"/>
      <c r="AY5" s="350"/>
      <c r="AZ5" s="350"/>
      <c r="BA5" s="351"/>
      <c r="BB5" s="349" t="s">
        <v>88</v>
      </c>
      <c r="BC5" s="350"/>
      <c r="BD5" s="350"/>
      <c r="BE5" s="350"/>
      <c r="BF5" s="350"/>
      <c r="BG5" s="351"/>
      <c r="BH5" s="349" t="s">
        <v>89</v>
      </c>
      <c r="BI5" s="350"/>
      <c r="BJ5" s="350"/>
      <c r="BK5" s="350"/>
      <c r="BL5" s="350"/>
      <c r="BM5" s="351"/>
      <c r="BN5" s="349" t="s">
        <v>90</v>
      </c>
      <c r="BO5" s="350"/>
      <c r="BP5" s="350"/>
      <c r="BQ5" s="350"/>
      <c r="BR5" s="350"/>
      <c r="BS5" s="351"/>
      <c r="BT5" s="349" t="s">
        <v>91</v>
      </c>
      <c r="BU5" s="350"/>
      <c r="BV5" s="350"/>
      <c r="BW5" s="350"/>
      <c r="BX5" s="350"/>
      <c r="BY5" s="351"/>
      <c r="BZ5" s="349" t="s">
        <v>92</v>
      </c>
      <c r="CA5" s="350"/>
      <c r="CB5" s="351"/>
    </row>
    <row r="6" spans="1:80" s="247" customFormat="1" ht="14.25" thickBot="1" thickTop="1">
      <c r="A6" s="252"/>
      <c r="B6" s="251"/>
      <c r="C6" s="349">
        <v>2009</v>
      </c>
      <c r="D6" s="350"/>
      <c r="E6" s="350"/>
      <c r="F6" s="350"/>
      <c r="G6" s="350"/>
      <c r="H6" s="350"/>
      <c r="I6" s="350"/>
      <c r="J6" s="351"/>
      <c r="K6" s="289"/>
      <c r="L6" s="355">
        <v>2009</v>
      </c>
      <c r="M6" s="355"/>
      <c r="N6" s="355"/>
      <c r="O6" s="355"/>
      <c r="P6" s="355"/>
      <c r="Q6" s="355"/>
      <c r="R6" s="355">
        <v>2010</v>
      </c>
      <c r="S6" s="355"/>
      <c r="T6" s="355"/>
      <c r="U6" s="355"/>
      <c r="V6" s="355"/>
      <c r="W6" s="355"/>
      <c r="X6" s="355">
        <v>2010</v>
      </c>
      <c r="Y6" s="355"/>
      <c r="Z6" s="355"/>
      <c r="AA6" s="355"/>
      <c r="AB6" s="355"/>
      <c r="AC6" s="355"/>
      <c r="AD6" s="355">
        <v>2010</v>
      </c>
      <c r="AE6" s="355"/>
      <c r="AF6" s="355"/>
      <c r="AG6" s="355"/>
      <c r="AH6" s="355"/>
      <c r="AI6" s="355"/>
      <c r="AJ6" s="355">
        <v>2010</v>
      </c>
      <c r="AK6" s="355"/>
      <c r="AL6" s="355"/>
      <c r="AM6" s="355"/>
      <c r="AN6" s="355"/>
      <c r="AO6" s="355"/>
      <c r="AP6" s="349">
        <v>2011</v>
      </c>
      <c r="AQ6" s="350"/>
      <c r="AR6" s="350"/>
      <c r="AS6" s="350"/>
      <c r="AT6" s="350"/>
      <c r="AU6" s="351"/>
      <c r="AV6" s="349">
        <v>2011</v>
      </c>
      <c r="AW6" s="350"/>
      <c r="AX6" s="350"/>
      <c r="AY6" s="350"/>
      <c r="AZ6" s="350"/>
      <c r="BA6" s="351"/>
      <c r="BB6" s="349">
        <v>2011</v>
      </c>
      <c r="BC6" s="350"/>
      <c r="BD6" s="350"/>
      <c r="BE6" s="350"/>
      <c r="BF6" s="350"/>
      <c r="BG6" s="351"/>
      <c r="BH6" s="349">
        <v>2011</v>
      </c>
      <c r="BI6" s="350"/>
      <c r="BJ6" s="350"/>
      <c r="BK6" s="350"/>
      <c r="BL6" s="350"/>
      <c r="BM6" s="351"/>
      <c r="BN6" s="349">
        <v>2011</v>
      </c>
      <c r="BO6" s="350"/>
      <c r="BP6" s="350"/>
      <c r="BQ6" s="350"/>
      <c r="BR6" s="350"/>
      <c r="BS6" s="351"/>
      <c r="BT6" s="349">
        <v>2011</v>
      </c>
      <c r="BU6" s="350"/>
      <c r="BV6" s="350"/>
      <c r="BW6" s="350"/>
      <c r="BX6" s="350"/>
      <c r="BY6" s="351"/>
      <c r="BZ6" s="269"/>
      <c r="CA6" s="268" t="s">
        <v>268</v>
      </c>
      <c r="CB6" s="268"/>
    </row>
    <row r="7" spans="1:80" s="247" customFormat="1" ht="14.25" customHeight="1" thickBot="1" thickTop="1">
      <c r="A7" s="252"/>
      <c r="B7" s="251"/>
      <c r="C7" s="266" t="s">
        <v>94</v>
      </c>
      <c r="D7" s="266" t="s">
        <v>95</v>
      </c>
      <c r="E7" s="266" t="s">
        <v>95</v>
      </c>
      <c r="F7" s="266" t="s">
        <v>96</v>
      </c>
      <c r="G7" s="266" t="s">
        <v>97</v>
      </c>
      <c r="H7" s="266" t="s">
        <v>97</v>
      </c>
      <c r="I7" s="266" t="s">
        <v>98</v>
      </c>
      <c r="J7" s="266" t="s">
        <v>99</v>
      </c>
      <c r="K7" s="266" t="s">
        <v>99</v>
      </c>
      <c r="L7" s="266" t="s">
        <v>94</v>
      </c>
      <c r="M7" s="266" t="s">
        <v>95</v>
      </c>
      <c r="N7" s="266" t="s">
        <v>96</v>
      </c>
      <c r="O7" s="266" t="s">
        <v>97</v>
      </c>
      <c r="P7" s="266" t="s">
        <v>98</v>
      </c>
      <c r="Q7" s="266" t="s">
        <v>99</v>
      </c>
      <c r="R7" s="266" t="s">
        <v>94</v>
      </c>
      <c r="S7" s="266" t="s">
        <v>95</v>
      </c>
      <c r="T7" s="266" t="s">
        <v>96</v>
      </c>
      <c r="U7" s="266" t="s">
        <v>97</v>
      </c>
      <c r="V7" s="266" t="s">
        <v>98</v>
      </c>
      <c r="W7" s="266" t="s">
        <v>99</v>
      </c>
      <c r="X7" s="266" t="s">
        <v>94</v>
      </c>
      <c r="Y7" s="266" t="s">
        <v>95</v>
      </c>
      <c r="Z7" s="266" t="s">
        <v>96</v>
      </c>
      <c r="AA7" s="266" t="s">
        <v>97</v>
      </c>
      <c r="AB7" s="266" t="s">
        <v>98</v>
      </c>
      <c r="AC7" s="266" t="s">
        <v>99</v>
      </c>
      <c r="AD7" s="266" t="s">
        <v>94</v>
      </c>
      <c r="AE7" s="266" t="s">
        <v>95</v>
      </c>
      <c r="AF7" s="266" t="s">
        <v>96</v>
      </c>
      <c r="AG7" s="266" t="s">
        <v>97</v>
      </c>
      <c r="AH7" s="266" t="s">
        <v>98</v>
      </c>
      <c r="AI7" s="266" t="s">
        <v>99</v>
      </c>
      <c r="AJ7" s="266" t="s">
        <v>94</v>
      </c>
      <c r="AK7" s="266" t="s">
        <v>95</v>
      </c>
      <c r="AL7" s="266" t="s">
        <v>96</v>
      </c>
      <c r="AM7" s="266" t="s">
        <v>97</v>
      </c>
      <c r="AN7" s="266" t="s">
        <v>98</v>
      </c>
      <c r="AO7" s="266" t="s">
        <v>99</v>
      </c>
      <c r="AP7" s="266" t="s">
        <v>94</v>
      </c>
      <c r="AQ7" s="266" t="s">
        <v>95</v>
      </c>
      <c r="AR7" s="266" t="s">
        <v>96</v>
      </c>
      <c r="AS7" s="266" t="s">
        <v>97</v>
      </c>
      <c r="AT7" s="266" t="s">
        <v>98</v>
      </c>
      <c r="AU7" s="266" t="s">
        <v>99</v>
      </c>
      <c r="AV7" s="266" t="s">
        <v>94</v>
      </c>
      <c r="AW7" s="266" t="s">
        <v>95</v>
      </c>
      <c r="AX7" s="266" t="s">
        <v>96</v>
      </c>
      <c r="AY7" s="266" t="s">
        <v>97</v>
      </c>
      <c r="AZ7" s="266" t="s">
        <v>98</v>
      </c>
      <c r="BA7" s="266" t="s">
        <v>99</v>
      </c>
      <c r="BB7" s="266" t="s">
        <v>94</v>
      </c>
      <c r="BC7" s="266" t="s">
        <v>95</v>
      </c>
      <c r="BD7" s="266" t="s">
        <v>96</v>
      </c>
      <c r="BE7" s="266" t="s">
        <v>97</v>
      </c>
      <c r="BF7" s="266" t="s">
        <v>98</v>
      </c>
      <c r="BG7" s="266" t="s">
        <v>99</v>
      </c>
      <c r="BH7" s="266" t="s">
        <v>94</v>
      </c>
      <c r="BI7" s="266" t="s">
        <v>95</v>
      </c>
      <c r="BJ7" s="266" t="s">
        <v>96</v>
      </c>
      <c r="BK7" s="266" t="s">
        <v>97</v>
      </c>
      <c r="BL7" s="266" t="s">
        <v>98</v>
      </c>
      <c r="BM7" s="266" t="s">
        <v>99</v>
      </c>
      <c r="BN7" s="266" t="s">
        <v>94</v>
      </c>
      <c r="BO7" s="266" t="s">
        <v>95</v>
      </c>
      <c r="BP7" s="266" t="s">
        <v>96</v>
      </c>
      <c r="BQ7" s="266" t="s">
        <v>97</v>
      </c>
      <c r="BR7" s="266" t="s">
        <v>98</v>
      </c>
      <c r="BS7" s="266" t="s">
        <v>99</v>
      </c>
      <c r="BT7" s="266" t="s">
        <v>94</v>
      </c>
      <c r="BU7" s="266" t="s">
        <v>95</v>
      </c>
      <c r="BV7" s="266" t="s">
        <v>96</v>
      </c>
      <c r="BW7" s="266" t="s">
        <v>97</v>
      </c>
      <c r="BX7" s="266" t="s">
        <v>98</v>
      </c>
      <c r="BY7" s="266" t="s">
        <v>99</v>
      </c>
      <c r="BZ7" s="267" t="s">
        <v>100</v>
      </c>
      <c r="CA7" s="266" t="s">
        <v>101</v>
      </c>
      <c r="CB7" s="266" t="s">
        <v>102</v>
      </c>
    </row>
    <row r="8" spans="1:80" s="247" customFormat="1" ht="14.25" thickBot="1" thickTop="1">
      <c r="A8" s="252" t="s">
        <v>103</v>
      </c>
      <c r="B8" s="251" t="s">
        <v>104</v>
      </c>
      <c r="C8" s="266" t="s">
        <v>105</v>
      </c>
      <c r="D8" s="266" t="s">
        <v>105</v>
      </c>
      <c r="E8" s="266" t="s">
        <v>105</v>
      </c>
      <c r="F8" s="266" t="s">
        <v>105</v>
      </c>
      <c r="G8" s="266" t="s">
        <v>105</v>
      </c>
      <c r="H8" s="266" t="s">
        <v>105</v>
      </c>
      <c r="I8" s="266" t="s">
        <v>105</v>
      </c>
      <c r="J8" s="266" t="s">
        <v>105</v>
      </c>
      <c r="K8" s="266" t="s">
        <v>105</v>
      </c>
      <c r="L8" s="266" t="s">
        <v>105</v>
      </c>
      <c r="M8" s="266" t="s">
        <v>105</v>
      </c>
      <c r="N8" s="266" t="s">
        <v>105</v>
      </c>
      <c r="O8" s="266" t="s">
        <v>105</v>
      </c>
      <c r="P8" s="266" t="s">
        <v>105</v>
      </c>
      <c r="Q8" s="266" t="s">
        <v>105</v>
      </c>
      <c r="R8" s="266" t="s">
        <v>105</v>
      </c>
      <c r="S8" s="266" t="s">
        <v>105</v>
      </c>
      <c r="T8" s="266" t="s">
        <v>105</v>
      </c>
      <c r="U8" s="266" t="s">
        <v>105</v>
      </c>
      <c r="V8" s="266" t="s">
        <v>105</v>
      </c>
      <c r="W8" s="266" t="s">
        <v>105</v>
      </c>
      <c r="X8" s="266" t="s">
        <v>105</v>
      </c>
      <c r="Y8" s="266" t="s">
        <v>105</v>
      </c>
      <c r="Z8" s="266" t="s">
        <v>105</v>
      </c>
      <c r="AA8" s="266" t="s">
        <v>105</v>
      </c>
      <c r="AB8" s="266" t="s">
        <v>105</v>
      </c>
      <c r="AC8" s="266" t="s">
        <v>105</v>
      </c>
      <c r="AD8" s="266" t="s">
        <v>105</v>
      </c>
      <c r="AE8" s="266" t="s">
        <v>105</v>
      </c>
      <c r="AF8" s="266" t="s">
        <v>105</v>
      </c>
      <c r="AG8" s="266" t="s">
        <v>105</v>
      </c>
      <c r="AH8" s="266" t="s">
        <v>105</v>
      </c>
      <c r="AI8" s="266" t="s">
        <v>105</v>
      </c>
      <c r="AJ8" s="266" t="s">
        <v>105</v>
      </c>
      <c r="AK8" s="266" t="s">
        <v>105</v>
      </c>
      <c r="AL8" s="266" t="s">
        <v>105</v>
      </c>
      <c r="AM8" s="266" t="s">
        <v>105</v>
      </c>
      <c r="AN8" s="266" t="s">
        <v>105</v>
      </c>
      <c r="AO8" s="266" t="s">
        <v>105</v>
      </c>
      <c r="AP8" s="266" t="s">
        <v>105</v>
      </c>
      <c r="AQ8" s="266" t="s">
        <v>105</v>
      </c>
      <c r="AR8" s="266" t="s">
        <v>105</v>
      </c>
      <c r="AS8" s="266" t="s">
        <v>105</v>
      </c>
      <c r="AT8" s="266" t="s">
        <v>105</v>
      </c>
      <c r="AU8" s="266" t="s">
        <v>105</v>
      </c>
      <c r="AV8" s="266" t="s">
        <v>105</v>
      </c>
      <c r="AW8" s="266" t="s">
        <v>105</v>
      </c>
      <c r="AX8" s="266" t="s">
        <v>105</v>
      </c>
      <c r="AY8" s="266" t="s">
        <v>105</v>
      </c>
      <c r="AZ8" s="266" t="s">
        <v>105</v>
      </c>
      <c r="BA8" s="266" t="s">
        <v>105</v>
      </c>
      <c r="BB8" s="266" t="s">
        <v>105</v>
      </c>
      <c r="BC8" s="266" t="s">
        <v>105</v>
      </c>
      <c r="BD8" s="266" t="s">
        <v>105</v>
      </c>
      <c r="BE8" s="266" t="s">
        <v>105</v>
      </c>
      <c r="BF8" s="266" t="s">
        <v>105</v>
      </c>
      <c r="BG8" s="266" t="s">
        <v>105</v>
      </c>
      <c r="BH8" s="266" t="s">
        <v>105</v>
      </c>
      <c r="BI8" s="266" t="s">
        <v>105</v>
      </c>
      <c r="BJ8" s="266" t="s">
        <v>105</v>
      </c>
      <c r="BK8" s="266" t="s">
        <v>105</v>
      </c>
      <c r="BL8" s="266" t="s">
        <v>105</v>
      </c>
      <c r="BM8" s="266" t="s">
        <v>105</v>
      </c>
      <c r="BN8" s="266" t="s">
        <v>105</v>
      </c>
      <c r="BO8" s="266" t="s">
        <v>105</v>
      </c>
      <c r="BP8" s="266" t="s">
        <v>105</v>
      </c>
      <c r="BQ8" s="266" t="s">
        <v>105</v>
      </c>
      <c r="BR8" s="266" t="s">
        <v>105</v>
      </c>
      <c r="BS8" s="266" t="s">
        <v>105</v>
      </c>
      <c r="BT8" s="266" t="s">
        <v>105</v>
      </c>
      <c r="BU8" s="266" t="s">
        <v>105</v>
      </c>
      <c r="BV8" s="266" t="s">
        <v>105</v>
      </c>
      <c r="BW8" s="266" t="s">
        <v>105</v>
      </c>
      <c r="BX8" s="266" t="s">
        <v>105</v>
      </c>
      <c r="BY8" s="266" t="s">
        <v>105</v>
      </c>
      <c r="BZ8" s="267" t="s">
        <v>105</v>
      </c>
      <c r="CA8" s="266" t="s">
        <v>106</v>
      </c>
      <c r="CB8" s="266" t="s">
        <v>106</v>
      </c>
    </row>
    <row r="9" spans="1:80" ht="14.25" thickBot="1" thickTop="1">
      <c r="A9" s="256"/>
      <c r="B9" s="270" t="s">
        <v>107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59"/>
      <c r="CA9" s="287"/>
      <c r="CB9" s="286"/>
    </row>
    <row r="10" spans="1:80" ht="14.25" thickBot="1" thickTop="1">
      <c r="A10" s="256"/>
      <c r="B10" s="255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59"/>
      <c r="BU10" s="277"/>
      <c r="BV10" s="277"/>
      <c r="BW10" s="277"/>
      <c r="BX10" s="277"/>
      <c r="BY10" s="277"/>
      <c r="BZ10" s="277"/>
      <c r="CA10" s="285"/>
      <c r="CB10" s="277"/>
    </row>
    <row r="11" spans="1:80" s="263" customFormat="1" ht="15" thickBot="1" thickTop="1">
      <c r="A11" s="256" t="s">
        <v>108</v>
      </c>
      <c r="B11" s="255" t="s">
        <v>109</v>
      </c>
      <c r="C11" s="254">
        <f>(8357268-99000-44402)/12</f>
        <v>684488.8333333334</v>
      </c>
      <c r="D11" s="262"/>
      <c r="E11" s="254">
        <f>EXP!D9</f>
        <v>4341282</v>
      </c>
      <c r="F11" s="254">
        <f>'[1]Capital Works Plan'!G6</f>
        <v>0</v>
      </c>
      <c r="G11" s="254"/>
      <c r="H11" s="254">
        <f>'[1]Capital Works Plan'!I6</f>
        <v>0</v>
      </c>
      <c r="I11" s="254">
        <f>I28+I30+I31+I34+I35-300000</f>
        <v>34553513.333333336</v>
      </c>
      <c r="J11" s="254"/>
      <c r="K11" s="254">
        <v>33539491</v>
      </c>
      <c r="L11" s="254">
        <f>(8357268-99000-44402)/12*2</f>
        <v>1368977.6666666667</v>
      </c>
      <c r="M11" s="254"/>
      <c r="N11" s="254">
        <v>0</v>
      </c>
      <c r="O11" s="254"/>
      <c r="P11" s="254">
        <f>P28+P30+P31+P34+P35-300000</f>
        <v>35557721.666666664</v>
      </c>
      <c r="Q11" s="254"/>
      <c r="R11" s="254">
        <f>((9717028-1321250-30000-16547-15187-102030-725034)/12*3)+(1321250/7)</f>
        <v>2065495</v>
      </c>
      <c r="S11" s="254">
        <f>+EXP!D9</f>
        <v>4341282</v>
      </c>
      <c r="T11" s="254">
        <v>0</v>
      </c>
      <c r="U11" s="254">
        <v>0</v>
      </c>
      <c r="V11" s="254">
        <f>V28+V30+V32+V34+(V35*0.65)</f>
        <v>37799124</v>
      </c>
      <c r="W11" s="254">
        <v>37455815</v>
      </c>
      <c r="X11" s="254">
        <f>((9717028-1321250-30000-16547-15187-102030-725034)/12*4)+(1321250/7)*2</f>
        <v>2879826.6666666665</v>
      </c>
      <c r="Y11" s="254">
        <f>EXP!D9</f>
        <v>4341282</v>
      </c>
      <c r="Z11" s="254">
        <v>0</v>
      </c>
      <c r="AA11" s="254">
        <v>0</v>
      </c>
      <c r="AB11" s="254">
        <f>+AB28+AB30+AB32+AB34+(AB35*0.65)</f>
        <v>38556790.666666664</v>
      </c>
      <c r="AC11" s="254">
        <v>38099330</v>
      </c>
      <c r="AD11" s="254">
        <f>((9717028-1321250-30000-16547-15187-102030-725034)/12*5)+(1321250/7*3)</f>
        <v>3694158.333333333</v>
      </c>
      <c r="AE11" s="254">
        <f>EXP!D9</f>
        <v>4341282</v>
      </c>
      <c r="AF11" s="254">
        <v>0</v>
      </c>
      <c r="AG11" s="254">
        <v>0</v>
      </c>
      <c r="AH11" s="254">
        <f>+AH28+AH30+AH32+AH34+(AH35*0.65)</f>
        <v>67719356.33333333</v>
      </c>
      <c r="AI11" s="254">
        <v>67091092</v>
      </c>
      <c r="AJ11" s="254">
        <f>((9717028-1321250-30000-16547-15187-102030-725034)/12*6)+1321250/7*4</f>
        <v>4508490</v>
      </c>
      <c r="AK11" s="254">
        <f>EXP!D9</f>
        <v>4341282</v>
      </c>
      <c r="AL11" s="254">
        <v>0</v>
      </c>
      <c r="AM11" s="254"/>
      <c r="AN11" s="254">
        <f>+AN28+AN30+AN32+AN34+(AN35*0.65)</f>
        <v>68477023</v>
      </c>
      <c r="AO11" s="254">
        <v>67653184</v>
      </c>
      <c r="AP11" s="254">
        <f>((8357268-99000-44402)/12*7)+99000</f>
        <v>4890421.833333334</v>
      </c>
      <c r="AQ11" s="254"/>
      <c r="AR11" s="254">
        <v>400000</v>
      </c>
      <c r="AS11" s="254"/>
      <c r="AT11" s="254">
        <f>AT28+AT30+AT31+AT34+AT35-300000</f>
        <v>68940481.33333333</v>
      </c>
      <c r="AU11" s="254"/>
      <c r="AV11" s="254">
        <f>((8357268-99000-44402)/12*8)+99000</f>
        <v>5574910.666666667</v>
      </c>
      <c r="AW11" s="254"/>
      <c r="AX11" s="254">
        <v>400000</v>
      </c>
      <c r="AY11" s="254"/>
      <c r="AZ11" s="254">
        <f>AZ28+AZ30+AZ31+AZ34+AZ35-300000</f>
        <v>69844689.66666667</v>
      </c>
      <c r="BA11" s="254"/>
      <c r="BB11" s="254">
        <f>((8357268-99000-44402)/12*9)+99000</f>
        <v>6259399.5</v>
      </c>
      <c r="BC11" s="254"/>
      <c r="BD11" s="254">
        <v>400000</v>
      </c>
      <c r="BE11" s="254"/>
      <c r="BF11" s="254">
        <f>BF28+BF30+BF31+BF34+BF35-300000</f>
        <v>90298481</v>
      </c>
      <c r="BG11" s="254"/>
      <c r="BH11" s="254">
        <f>((8357268-99000-44402)/12*10)+99000</f>
        <v>6943888.333333334</v>
      </c>
      <c r="BI11" s="254"/>
      <c r="BJ11" s="254">
        <v>400000</v>
      </c>
      <c r="BK11" s="254"/>
      <c r="BL11" s="254">
        <f>BL28+BL30+BL31+BL34+BL35-300000</f>
        <v>91002689.33333333</v>
      </c>
      <c r="BM11" s="254"/>
      <c r="BN11" s="254">
        <f>((8357268-99000-44402)/12*11)+99000+44402</f>
        <v>7672779.166666667</v>
      </c>
      <c r="BO11" s="254"/>
      <c r="BP11" s="254">
        <v>400000</v>
      </c>
      <c r="BQ11" s="254"/>
      <c r="BR11" s="254">
        <f>BR28+BR30+BR31+BR34+BR35-300000</f>
        <v>91706897.66666667</v>
      </c>
      <c r="BS11" s="254"/>
      <c r="BT11" s="254">
        <f>((8357268-99000-44402)/12*12)+99000+44402</f>
        <v>8357268</v>
      </c>
      <c r="BU11" s="254"/>
      <c r="BV11" s="254">
        <v>400000</v>
      </c>
      <c r="BW11" s="254"/>
      <c r="BX11" s="254">
        <f>BX28+BX30+BX31+BX34+BX35-300000</f>
        <v>92311106</v>
      </c>
      <c r="BY11" s="254"/>
      <c r="BZ11" s="254">
        <v>9717028</v>
      </c>
      <c r="CA11" s="253">
        <v>500000</v>
      </c>
      <c r="CB11" s="253">
        <v>94327000</v>
      </c>
    </row>
    <row r="12" spans="1:80" s="263" customFormat="1" ht="15" thickBot="1" thickTop="1">
      <c r="A12" s="256" t="s">
        <v>110</v>
      </c>
      <c r="B12" s="255" t="s">
        <v>41</v>
      </c>
      <c r="C12" s="254">
        <f>((5431866-36072-111506-200000)/12*1)+200000+50000</f>
        <v>673690.6666666667</v>
      </c>
      <c r="D12" s="262"/>
      <c r="E12" s="254">
        <f>EXP!D16</f>
        <v>2320738</v>
      </c>
      <c r="F12" s="254">
        <v>0</v>
      </c>
      <c r="G12" s="254"/>
      <c r="H12" s="254">
        <v>0</v>
      </c>
      <c r="I12" s="254">
        <f>I36+I35-700000</f>
        <v>1035000</v>
      </c>
      <c r="J12" s="254"/>
      <c r="K12" s="254">
        <v>16501</v>
      </c>
      <c r="L12" s="254">
        <f>((5431866-36072-111506-200000)/12*2)+200000+50000</f>
        <v>1097381.3333333335</v>
      </c>
      <c r="M12" s="254"/>
      <c r="N12" s="254">
        <v>0</v>
      </c>
      <c r="O12" s="254"/>
      <c r="P12" s="254">
        <f>P36+P35-700000</f>
        <v>1035000</v>
      </c>
      <c r="Q12" s="254"/>
      <c r="R12" s="254">
        <f>((6401888-290000-6009-2064-30868-12371)/12*3)</f>
        <v>1515144</v>
      </c>
      <c r="S12" s="254">
        <f>+EXP!D16</f>
        <v>2320738</v>
      </c>
      <c r="T12" s="254">
        <v>190000</v>
      </c>
      <c r="U12" s="254">
        <v>0</v>
      </c>
      <c r="V12" s="254">
        <f>V36+(V35*0.35)</f>
        <v>275000</v>
      </c>
      <c r="W12" s="254">
        <v>96907</v>
      </c>
      <c r="X12" s="254">
        <f>((6401888-290000-6009-2064-30868-12371)/12*4)</f>
        <v>2020192</v>
      </c>
      <c r="Y12" s="254">
        <f>EXP!D16</f>
        <v>2320738</v>
      </c>
      <c r="Z12" s="254">
        <v>270000</v>
      </c>
      <c r="AA12" s="254">
        <v>0</v>
      </c>
      <c r="AB12" s="254">
        <f>AB36+(AB35*0.35)</f>
        <v>366666.6666666666</v>
      </c>
      <c r="AC12" s="254">
        <v>124952</v>
      </c>
      <c r="AD12" s="254">
        <f>((6401888-290000-6009-2064-30868-12371)/12*5)</f>
        <v>2525240</v>
      </c>
      <c r="AE12" s="254">
        <f>EXP!D16</f>
        <v>2320738</v>
      </c>
      <c r="AF12" s="254">
        <v>380000</v>
      </c>
      <c r="AG12" s="254">
        <v>0</v>
      </c>
      <c r="AH12" s="254">
        <f>AH36+(AH35*0.35)</f>
        <v>458333.3333333333</v>
      </c>
      <c r="AI12" s="254">
        <v>167208</v>
      </c>
      <c r="AJ12" s="254">
        <f>((6401888-290000-6009-2064-30868-12371)/12*6)</f>
        <v>3030288</v>
      </c>
      <c r="AK12" s="254">
        <f>EXP!D16</f>
        <v>2320738</v>
      </c>
      <c r="AL12" s="258">
        <v>810000</v>
      </c>
      <c r="AM12" s="254">
        <v>115751</v>
      </c>
      <c r="AN12" s="254">
        <f>AN36+AN42+(AN35*0.35)</f>
        <v>550000</v>
      </c>
      <c r="AO12" s="254">
        <v>893311</v>
      </c>
      <c r="AP12" s="254">
        <f>((5431866-36072-111506-200000)/12*7)+200000+111506+50000</f>
        <v>3327340.666666667</v>
      </c>
      <c r="AQ12" s="254"/>
      <c r="AR12" s="258">
        <v>840000</v>
      </c>
      <c r="AS12" s="254"/>
      <c r="AT12" s="254">
        <f>AT36+AT35-700000</f>
        <v>175000</v>
      </c>
      <c r="AU12" s="254"/>
      <c r="AV12" s="254">
        <f>((5431866-36072-111506-200000)/12*8)+200000+111506+50000</f>
        <v>3751031.3333333335</v>
      </c>
      <c r="AW12" s="254"/>
      <c r="AX12" s="258">
        <v>840000</v>
      </c>
      <c r="AY12" s="254"/>
      <c r="AZ12" s="254">
        <f>AZ36+AZ35-700000</f>
        <v>175000</v>
      </c>
      <c r="BA12" s="254"/>
      <c r="BB12" s="254">
        <f>((5431866-36072-111506-200000)/12*9)+200000+111506+50000</f>
        <v>4174722</v>
      </c>
      <c r="BC12" s="254"/>
      <c r="BD12" s="258">
        <v>915000</v>
      </c>
      <c r="BE12" s="254"/>
      <c r="BF12" s="254">
        <f>BF36+BF35-700000</f>
        <v>175000</v>
      </c>
      <c r="BG12" s="254"/>
      <c r="BH12" s="254">
        <f>((5431866-36072-111506-200000)/12*10)+200000+111506+50000</f>
        <v>4598412.666666667</v>
      </c>
      <c r="BI12" s="254"/>
      <c r="BJ12" s="258">
        <v>915000</v>
      </c>
      <c r="BK12" s="254"/>
      <c r="BL12" s="254">
        <f>BL36+BL35-700000</f>
        <v>175000</v>
      </c>
      <c r="BM12" s="254"/>
      <c r="BN12" s="254">
        <f>((5431866-36072-111506-200000)/12*11)+200000+111506+36072+50000</f>
        <v>5058175.333333334</v>
      </c>
      <c r="BO12" s="254"/>
      <c r="BP12" s="254">
        <v>1150000</v>
      </c>
      <c r="BQ12" s="254"/>
      <c r="BR12" s="254">
        <f>BR36+BR35-700000</f>
        <v>175000</v>
      </c>
      <c r="BS12" s="254"/>
      <c r="BT12" s="254">
        <f>((5431866-36072-111506-200000)/12*12)+200000+111506+36072+50000</f>
        <v>5481866</v>
      </c>
      <c r="BU12" s="254"/>
      <c r="BV12" s="254">
        <v>1750000</v>
      </c>
      <c r="BW12" s="254"/>
      <c r="BX12" s="254">
        <f>BX36+BX35-700000</f>
        <v>175000</v>
      </c>
      <c r="BY12" s="254"/>
      <c r="BZ12" s="254">
        <v>6401888</v>
      </c>
      <c r="CA12" s="253">
        <v>2550000</v>
      </c>
      <c r="CB12" s="253">
        <v>1100000</v>
      </c>
    </row>
    <row r="13" spans="1:80" s="263" customFormat="1" ht="15" thickBot="1" thickTop="1">
      <c r="A13" s="256" t="s">
        <v>111</v>
      </c>
      <c r="B13" s="255" t="s">
        <v>42</v>
      </c>
      <c r="C13" s="254">
        <f>(10680184-600000-98640-49708)/12</f>
        <v>827653</v>
      </c>
      <c r="D13" s="262"/>
      <c r="E13" s="254">
        <f>EXP!D22</f>
        <v>5402114</v>
      </c>
      <c r="F13" s="254">
        <v>90000</v>
      </c>
      <c r="G13" s="254"/>
      <c r="H13" s="254">
        <v>0</v>
      </c>
      <c r="I13" s="254">
        <f>I38+I43</f>
        <v>0</v>
      </c>
      <c r="J13" s="254"/>
      <c r="K13" s="254">
        <v>19901</v>
      </c>
      <c r="L13" s="254">
        <f>((10680184-600000-98640-49708)/12*2)+600000</f>
        <v>2255306</v>
      </c>
      <c r="M13" s="254"/>
      <c r="N13" s="254">
        <v>90000</v>
      </c>
      <c r="O13" s="254"/>
      <c r="P13" s="254">
        <f>P38+P43</f>
        <v>0</v>
      </c>
      <c r="Q13" s="254"/>
      <c r="R13" s="254">
        <f>((11999663-190260-19231-8805-45503-15975)/12*3)</f>
        <v>2929972.25</v>
      </c>
      <c r="S13" s="254">
        <f>+EXP!D22</f>
        <v>5402114</v>
      </c>
      <c r="T13" s="254">
        <v>0</v>
      </c>
      <c r="U13" s="254">
        <v>26611</v>
      </c>
      <c r="V13" s="254">
        <f>V38+V43</f>
        <v>0</v>
      </c>
      <c r="W13" s="254">
        <v>89934</v>
      </c>
      <c r="X13" s="254">
        <f>((11999663-190260-19231-8805-45503-15975)/12*4)</f>
        <v>3906629.6666666665</v>
      </c>
      <c r="Y13" s="254">
        <f>EXP!D22</f>
        <v>5402114</v>
      </c>
      <c r="Z13" s="254">
        <v>235000</v>
      </c>
      <c r="AA13" s="254">
        <v>207258</v>
      </c>
      <c r="AB13" s="254">
        <f>AB38+AB43</f>
        <v>0</v>
      </c>
      <c r="AC13" s="254">
        <v>89934</v>
      </c>
      <c r="AD13" s="254">
        <f>((11999663-190260-19231-8805-45503-15975)/12*5)</f>
        <v>4883287.083333333</v>
      </c>
      <c r="AE13" s="254">
        <f>EXP!D22</f>
        <v>5402114</v>
      </c>
      <c r="AF13" s="254">
        <v>780000</v>
      </c>
      <c r="AG13" s="254">
        <v>209908</v>
      </c>
      <c r="AH13" s="254">
        <f>AH38+AH43</f>
        <v>0</v>
      </c>
      <c r="AI13" s="254">
        <v>89934</v>
      </c>
      <c r="AJ13" s="254">
        <f>((11999663-190260-19231-8805-45503-15975)/12*6)</f>
        <v>5859944.5</v>
      </c>
      <c r="AK13" s="254">
        <f>EXP!D22</f>
        <v>5402114</v>
      </c>
      <c r="AL13" s="258">
        <v>1065000</v>
      </c>
      <c r="AM13" s="258">
        <v>209908</v>
      </c>
      <c r="AN13" s="254">
        <f>AN38</f>
        <v>0</v>
      </c>
      <c r="AO13" s="254">
        <v>168346</v>
      </c>
      <c r="AP13" s="254">
        <f>((10680184-600000-98640-49708)/12*7)+600000+98640</f>
        <v>6492211</v>
      </c>
      <c r="AQ13" s="254"/>
      <c r="AR13" s="254">
        <v>3620000</v>
      </c>
      <c r="AS13" s="254"/>
      <c r="AT13" s="254">
        <f>AT38+AT43</f>
        <v>0</v>
      </c>
      <c r="AU13" s="254"/>
      <c r="AV13" s="254">
        <f>((10680184-600000-98640-49708)/12*8)+600000+98640</f>
        <v>7319864</v>
      </c>
      <c r="AW13" s="254"/>
      <c r="AX13" s="254">
        <v>3820000</v>
      </c>
      <c r="AY13" s="254"/>
      <c r="AZ13" s="254">
        <f>AZ38+AZ43</f>
        <v>0</v>
      </c>
      <c r="BA13" s="254"/>
      <c r="BB13" s="254">
        <f>((10680184-600000-98640-49708)/12*9)+600000+98640</f>
        <v>8147517</v>
      </c>
      <c r="BC13" s="254"/>
      <c r="BD13" s="254">
        <v>4570000</v>
      </c>
      <c r="BE13" s="254"/>
      <c r="BF13" s="254">
        <f>BF38+BF43+BF39</f>
        <v>0</v>
      </c>
      <c r="BG13" s="254"/>
      <c r="BH13" s="254">
        <f>((10680184-600000-98640-49708)/12*10)+600000+98640</f>
        <v>8975170</v>
      </c>
      <c r="BI13" s="254"/>
      <c r="BJ13" s="258">
        <v>4670000</v>
      </c>
      <c r="BK13" s="254"/>
      <c r="BL13" s="254">
        <f>BL38+BL43+BL39</f>
        <v>0</v>
      </c>
      <c r="BM13" s="254"/>
      <c r="BN13" s="254">
        <f>((10680184-600000-98640-49708)/12*11)+600000+98640+49708</f>
        <v>9852531</v>
      </c>
      <c r="BO13" s="254"/>
      <c r="BP13" s="254">
        <v>5320000</v>
      </c>
      <c r="BQ13" s="254"/>
      <c r="BR13" s="254">
        <f>BR38+BR43+BR39</f>
        <v>0</v>
      </c>
      <c r="BS13" s="254"/>
      <c r="BT13" s="254">
        <f>((10680184-600000-98640-49708)/12*12)+600000+98640+49708</f>
        <v>10680184</v>
      </c>
      <c r="BU13" s="254"/>
      <c r="BV13" s="254">
        <v>6100000</v>
      </c>
      <c r="BW13" s="254"/>
      <c r="BX13" s="254">
        <f>BX38+BX43+BX39</f>
        <v>0</v>
      </c>
      <c r="BY13" s="254"/>
      <c r="BZ13" s="254">
        <v>11999663</v>
      </c>
      <c r="CA13" s="253">
        <v>11186945</v>
      </c>
      <c r="CB13" s="253">
        <f>BX13</f>
        <v>0</v>
      </c>
    </row>
    <row r="14" spans="1:80" s="263" customFormat="1" ht="15" thickBot="1" thickTop="1">
      <c r="A14" s="256" t="s">
        <v>112</v>
      </c>
      <c r="B14" s="255" t="s">
        <v>43</v>
      </c>
      <c r="C14" s="254">
        <f>(3413850-26159-70763)/12*1</f>
        <v>276410.6666666667</v>
      </c>
      <c r="D14" s="262"/>
      <c r="E14" s="254">
        <f>EXP!D28</f>
        <v>1643500</v>
      </c>
      <c r="F14" s="254">
        <v>420000</v>
      </c>
      <c r="G14" s="254"/>
      <c r="H14" s="254">
        <v>0</v>
      </c>
      <c r="I14" s="254">
        <v>0</v>
      </c>
      <c r="J14" s="254"/>
      <c r="K14" s="254">
        <v>0</v>
      </c>
      <c r="L14" s="254">
        <f>(3413850-26159-70763)/12*2</f>
        <v>552821.3333333334</v>
      </c>
      <c r="M14" s="254"/>
      <c r="N14" s="254">
        <v>420000</v>
      </c>
      <c r="O14" s="254"/>
      <c r="P14" s="254">
        <v>0</v>
      </c>
      <c r="Q14" s="254"/>
      <c r="R14" s="254">
        <f>((3809693-10705-6188-26881-8581)/12*3)</f>
        <v>939334.5</v>
      </c>
      <c r="S14" s="254">
        <f>+EXP!D28</f>
        <v>1643500</v>
      </c>
      <c r="T14" s="254">
        <v>1765000</v>
      </c>
      <c r="U14" s="254">
        <v>53381</v>
      </c>
      <c r="V14" s="254">
        <v>0</v>
      </c>
      <c r="W14" s="254">
        <v>0</v>
      </c>
      <c r="X14" s="254">
        <f>((3809693-10705-6188-26881-8581)/12*4)</f>
        <v>1252446</v>
      </c>
      <c r="Y14" s="254">
        <f>EXP!D28</f>
        <v>1643500</v>
      </c>
      <c r="Z14" s="254">
        <v>1965000</v>
      </c>
      <c r="AA14" s="254">
        <v>100162</v>
      </c>
      <c r="AB14" s="254">
        <v>0</v>
      </c>
      <c r="AC14" s="254">
        <v>5000</v>
      </c>
      <c r="AD14" s="254">
        <f>((3809693-10705-6188-26881-8581)/12*5)</f>
        <v>1565557.5</v>
      </c>
      <c r="AE14" s="254">
        <f>EXP!D28</f>
        <v>1643500</v>
      </c>
      <c r="AF14" s="254">
        <v>2477500</v>
      </c>
      <c r="AG14" s="254">
        <v>252557</v>
      </c>
      <c r="AH14" s="254">
        <v>0</v>
      </c>
      <c r="AI14" s="254">
        <v>5000</v>
      </c>
      <c r="AJ14" s="254">
        <f>((3809693-10705-6188-26881-8581)/12*6)</f>
        <v>1878669</v>
      </c>
      <c r="AK14" s="254">
        <f>EXP!D28</f>
        <v>1643500</v>
      </c>
      <c r="AL14" s="254">
        <v>3562500</v>
      </c>
      <c r="AM14" s="254">
        <v>297198</v>
      </c>
      <c r="AN14" s="254">
        <v>0</v>
      </c>
      <c r="AO14" s="254">
        <v>5000</v>
      </c>
      <c r="AP14" s="254">
        <f>((3413850-26159-70763)/12*7)+70763</f>
        <v>2005637.6666666667</v>
      </c>
      <c r="AQ14" s="254"/>
      <c r="AR14" s="254">
        <v>2660000</v>
      </c>
      <c r="AS14" s="254"/>
      <c r="AT14" s="254">
        <v>0</v>
      </c>
      <c r="AU14" s="254"/>
      <c r="AV14" s="254">
        <f>((3413850-26159-70763)/12*8)+70763</f>
        <v>2282048.3333333335</v>
      </c>
      <c r="AW14" s="254"/>
      <c r="AX14" s="254">
        <v>2930000</v>
      </c>
      <c r="AY14" s="254"/>
      <c r="AZ14" s="254">
        <v>0</v>
      </c>
      <c r="BA14" s="254"/>
      <c r="BB14" s="254">
        <f>((3413850-26159-70763)/12*9)+70763</f>
        <v>2558459</v>
      </c>
      <c r="BC14" s="254"/>
      <c r="BD14" s="254">
        <v>2980000</v>
      </c>
      <c r="BE14" s="254"/>
      <c r="BF14" s="254">
        <f>BF41+BF42</f>
        <v>0</v>
      </c>
      <c r="BG14" s="254"/>
      <c r="BH14" s="254">
        <f>((3413850-26159-70763)/12*10)+70763</f>
        <v>2834869.666666667</v>
      </c>
      <c r="BI14" s="254"/>
      <c r="BJ14" s="258">
        <v>3100000</v>
      </c>
      <c r="BK14" s="254"/>
      <c r="BL14" s="254">
        <f>BL41+BL42</f>
        <v>0</v>
      </c>
      <c r="BM14" s="254"/>
      <c r="BN14" s="254">
        <f>((3413850-26159-70763)/12*11)+70763+26159</f>
        <v>3137439.3333333335</v>
      </c>
      <c r="BO14" s="254"/>
      <c r="BP14" s="254">
        <v>3250000</v>
      </c>
      <c r="BQ14" s="254"/>
      <c r="BR14" s="254">
        <f>BR41+BR42</f>
        <v>0</v>
      </c>
      <c r="BS14" s="254"/>
      <c r="BT14" s="254">
        <f>((3413850-26159-70763)/12*12)+70763+26159</f>
        <v>3413850</v>
      </c>
      <c r="BU14" s="254"/>
      <c r="BV14" s="254">
        <v>3270000</v>
      </c>
      <c r="BW14" s="254"/>
      <c r="BX14" s="254">
        <f>BX41+BX42</f>
        <v>0</v>
      </c>
      <c r="BY14" s="254"/>
      <c r="BZ14" s="254">
        <v>3809693</v>
      </c>
      <c r="CA14" s="253">
        <v>4375000</v>
      </c>
      <c r="CB14" s="253">
        <f>BX14</f>
        <v>0</v>
      </c>
    </row>
    <row r="15" spans="1:80" s="263" customFormat="1" ht="15" thickBot="1" thickTop="1">
      <c r="A15" s="256" t="s">
        <v>113</v>
      </c>
      <c r="B15" s="255" t="s">
        <v>45</v>
      </c>
      <c r="C15" s="254">
        <f>((2169140-16782-71478)/12)*1</f>
        <v>173406.66666666666</v>
      </c>
      <c r="D15" s="262"/>
      <c r="E15" s="254">
        <f>EXP!D34</f>
        <v>1060455</v>
      </c>
      <c r="F15" s="254">
        <v>0</v>
      </c>
      <c r="G15" s="254"/>
      <c r="H15" s="254">
        <v>0</v>
      </c>
      <c r="I15" s="254">
        <v>0</v>
      </c>
      <c r="J15" s="254"/>
      <c r="K15" s="254">
        <v>0</v>
      </c>
      <c r="L15" s="254">
        <f>((2169140-16782-71478)/12)*2</f>
        <v>346813.3333333333</v>
      </c>
      <c r="M15" s="254"/>
      <c r="N15" s="254">
        <v>0</v>
      </c>
      <c r="O15" s="254"/>
      <c r="P15" s="254">
        <v>0</v>
      </c>
      <c r="Q15" s="254"/>
      <c r="R15" s="254">
        <f>(((2720969-26000-4570-3702-18366-6466)/12)*3)</f>
        <v>665466.25</v>
      </c>
      <c r="S15" s="254">
        <f>+EXP!D34</f>
        <v>1060455</v>
      </c>
      <c r="T15" s="254">
        <v>100000</v>
      </c>
      <c r="U15" s="254">
        <v>0</v>
      </c>
      <c r="V15" s="254">
        <v>0</v>
      </c>
      <c r="W15" s="254">
        <v>0</v>
      </c>
      <c r="X15" s="254">
        <f>((2720969-26000-4570-3702-18366-6466)/12)*4</f>
        <v>887288.3333333334</v>
      </c>
      <c r="Y15" s="254">
        <f>EXP!D34</f>
        <v>1060455</v>
      </c>
      <c r="Z15" s="254">
        <v>100000</v>
      </c>
      <c r="AA15" s="254">
        <v>6524</v>
      </c>
      <c r="AB15" s="254">
        <v>0</v>
      </c>
      <c r="AC15" s="254">
        <v>0</v>
      </c>
      <c r="AD15" s="254">
        <f>(((2720969-26000-4570-3702-18366-6466)/12)*5)</f>
        <v>1109110.4166666667</v>
      </c>
      <c r="AE15" s="254">
        <f>EXP!D34</f>
        <v>1060455</v>
      </c>
      <c r="AF15" s="254">
        <v>568000</v>
      </c>
      <c r="AG15" s="254">
        <v>6524</v>
      </c>
      <c r="AH15" s="254">
        <v>0</v>
      </c>
      <c r="AI15" s="254">
        <v>0</v>
      </c>
      <c r="AJ15" s="254">
        <f>(((2720969-26000-4570-3702-18366-6466)/12)*6)</f>
        <v>1330932.5</v>
      </c>
      <c r="AK15" s="254">
        <f>EXP!D34</f>
        <v>1060455</v>
      </c>
      <c r="AL15" s="254">
        <v>1468000</v>
      </c>
      <c r="AM15" s="254">
        <v>6524</v>
      </c>
      <c r="AN15" s="254">
        <f>+AN43</f>
        <v>133000</v>
      </c>
      <c r="AO15" s="254">
        <v>0</v>
      </c>
      <c r="AP15" s="254">
        <f>(((2169140-16782-71478)/12)*7)+71478</f>
        <v>1285324.6666666665</v>
      </c>
      <c r="AQ15" s="254"/>
      <c r="AR15" s="254">
        <v>1950000</v>
      </c>
      <c r="AS15" s="254"/>
      <c r="AT15" s="254">
        <v>0</v>
      </c>
      <c r="AU15" s="254"/>
      <c r="AV15" s="254">
        <f>(((2169140-16782-71478)/12)*8)+71478</f>
        <v>1458731.3333333333</v>
      </c>
      <c r="AW15" s="254"/>
      <c r="AX15" s="254">
        <v>1950000</v>
      </c>
      <c r="AY15" s="254"/>
      <c r="AZ15" s="254">
        <v>0</v>
      </c>
      <c r="BA15" s="254"/>
      <c r="BB15" s="254">
        <f>(((2169140-16782-71478)/12)*9)+71478</f>
        <v>1632138</v>
      </c>
      <c r="BC15" s="254"/>
      <c r="BD15" s="254">
        <v>3000000</v>
      </c>
      <c r="BE15" s="254"/>
      <c r="BF15" s="254">
        <f>BF40</f>
        <v>0</v>
      </c>
      <c r="BG15" s="254"/>
      <c r="BH15" s="254">
        <f>(((2169140-16782-71478)/12)*10)+71478</f>
        <v>1805544.6666666665</v>
      </c>
      <c r="BI15" s="254"/>
      <c r="BJ15" s="258">
        <v>3000000</v>
      </c>
      <c r="BK15" s="254"/>
      <c r="BL15" s="254">
        <f>BL40</f>
        <v>0</v>
      </c>
      <c r="BM15" s="254"/>
      <c r="BN15" s="254">
        <f>(((2169140-16782-71478)/12)*11)+71478+16782</f>
        <v>1995733.3333333333</v>
      </c>
      <c r="BO15" s="254"/>
      <c r="BP15" s="254">
        <v>3600000</v>
      </c>
      <c r="BQ15" s="254"/>
      <c r="BR15" s="254">
        <f>BR40</f>
        <v>0</v>
      </c>
      <c r="BS15" s="254"/>
      <c r="BT15" s="254">
        <f>(((2169140-16782-71478)/12)*12)+71478+16782</f>
        <v>2169140</v>
      </c>
      <c r="BU15" s="254"/>
      <c r="BV15" s="254">
        <v>4000000</v>
      </c>
      <c r="BW15" s="254"/>
      <c r="BX15" s="254">
        <f>BX40</f>
        <v>0</v>
      </c>
      <c r="BY15" s="254"/>
      <c r="BZ15" s="254">
        <v>2720969</v>
      </c>
      <c r="CA15" s="254">
        <v>7875000</v>
      </c>
      <c r="CB15" s="253">
        <v>1037000</v>
      </c>
    </row>
    <row r="16" spans="1:80" s="263" customFormat="1" ht="15" thickBot="1" thickTop="1">
      <c r="A16" s="256" t="s">
        <v>114</v>
      </c>
      <c r="B16" s="255" t="s">
        <v>46</v>
      </c>
      <c r="C16" s="254">
        <f>(((11288417-40279-4278326)/12)*1)+(324115.61*1)</f>
        <v>904933.2766666666</v>
      </c>
      <c r="D16" s="262"/>
      <c r="E16" s="254">
        <f>EXP!D40</f>
        <v>4463000</v>
      </c>
      <c r="F16" s="254">
        <v>0</v>
      </c>
      <c r="G16" s="254"/>
      <c r="H16" s="254">
        <v>86900</v>
      </c>
      <c r="I16" s="254">
        <v>0</v>
      </c>
      <c r="J16" s="254"/>
      <c r="K16" s="254">
        <v>0</v>
      </c>
      <c r="L16" s="254">
        <f>(((11288417-40279-4278326)/12)*2)+(324115.61*2)</f>
        <v>1809866.5533333332</v>
      </c>
      <c r="M16" s="254"/>
      <c r="N16" s="254">
        <v>70000</v>
      </c>
      <c r="O16" s="254"/>
      <c r="P16" s="254">
        <v>0</v>
      </c>
      <c r="Q16" s="254"/>
      <c r="R16" s="254">
        <f>(((12080828-200000-100000-14021-10887-33461-10650)/12*3))</f>
        <v>2927952.25</v>
      </c>
      <c r="S16" s="254">
        <f>+EXP!D40</f>
        <v>4463000</v>
      </c>
      <c r="T16" s="254">
        <v>508000</v>
      </c>
      <c r="U16" s="254">
        <v>8443</v>
      </c>
      <c r="V16" s="254">
        <v>0</v>
      </c>
      <c r="W16" s="254">
        <v>0</v>
      </c>
      <c r="X16" s="254">
        <f>(((12080828-200000-100000-14021-10887-33461-10650)/12)*4)</f>
        <v>3903936.3333333335</v>
      </c>
      <c r="Y16" s="254">
        <f>EXP!D40</f>
        <v>4463000</v>
      </c>
      <c r="Z16" s="254">
        <v>718000</v>
      </c>
      <c r="AA16" s="253">
        <v>266114</v>
      </c>
      <c r="AB16" s="254">
        <v>0</v>
      </c>
      <c r="AC16" s="254">
        <v>0</v>
      </c>
      <c r="AD16" s="254">
        <f>(((12080828-200000-100000-14021-10887-33461-10650)/12)*5)+100000</f>
        <v>4979920.416666667</v>
      </c>
      <c r="AE16" s="254">
        <f>EXP!D40</f>
        <v>4463000</v>
      </c>
      <c r="AF16" s="254">
        <v>818000</v>
      </c>
      <c r="AG16" s="253">
        <v>454882</v>
      </c>
      <c r="AH16" s="254">
        <v>0</v>
      </c>
      <c r="AI16" s="254">
        <v>0</v>
      </c>
      <c r="AJ16" s="254">
        <f>((12080828-200000-100000-14021-10887-33461-10650)/12)*6+100000</f>
        <v>5955904.5</v>
      </c>
      <c r="AK16" s="254">
        <f>EXP!D40</f>
        <v>4463000</v>
      </c>
      <c r="AL16" s="254">
        <v>1365000</v>
      </c>
      <c r="AM16" s="253">
        <v>546185</v>
      </c>
      <c r="AN16" s="254">
        <v>0</v>
      </c>
      <c r="AO16" s="254">
        <v>7000</v>
      </c>
      <c r="AP16" s="254">
        <f>(((11288417-40279-4278326)/12)*7)+(324115.61*6)+(324115.61*0.6)+(1*1.1*324115.61)</f>
        <v>6561413.863666667</v>
      </c>
      <c r="AQ16" s="254"/>
      <c r="AR16" s="254">
        <v>1950000</v>
      </c>
      <c r="AS16" s="253"/>
      <c r="AT16" s="254">
        <v>0</v>
      </c>
      <c r="AU16" s="254"/>
      <c r="AV16" s="254">
        <f>(((11288417-40279-4278326)/12)*8)+(324115.61*6)+(324115.61*0.6)+(2*1.1*324115.61)</f>
        <v>7498758.701333334</v>
      </c>
      <c r="AW16" s="254"/>
      <c r="AX16" s="254">
        <v>2050000</v>
      </c>
      <c r="AY16" s="253"/>
      <c r="AZ16" s="254">
        <v>0</v>
      </c>
      <c r="BA16" s="254"/>
      <c r="BB16" s="254">
        <f>(((11288417-40279-4278326)/12)*9)+(324115.61*6)+(324115.61*0.6)+(3*1.1*324115.61)</f>
        <v>8436103.539</v>
      </c>
      <c r="BC16" s="254"/>
      <c r="BD16" s="254">
        <v>2600000</v>
      </c>
      <c r="BE16" s="253"/>
      <c r="BF16" s="254">
        <v>0</v>
      </c>
      <c r="BG16" s="254"/>
      <c r="BH16" s="254">
        <f>(((11288417-40279-4278326)/12)*10)+(324115.61*6)+(324115.61*0.6)+(4*1.1*324115.61)</f>
        <v>9373448.376666667</v>
      </c>
      <c r="BI16" s="254"/>
      <c r="BJ16" s="258">
        <v>2600000</v>
      </c>
      <c r="BK16" s="253"/>
      <c r="BL16" s="254">
        <v>0</v>
      </c>
      <c r="BM16" s="254"/>
      <c r="BN16" s="254">
        <f>(((11288417-40279-4278326)/12)*11)+(324115.61*6)+(324115.61*0.6)+(5*1.1*324115.61)+40279</f>
        <v>10351072.214333333</v>
      </c>
      <c r="BO16" s="254"/>
      <c r="BP16" s="254">
        <v>2700000</v>
      </c>
      <c r="BQ16" s="253"/>
      <c r="BR16" s="254">
        <v>0</v>
      </c>
      <c r="BS16" s="254"/>
      <c r="BT16" s="254">
        <f>(((11288417-40279-4278326)/12)*12)+(324115.61*6)+(324115.61*0.6)+(6*1.1*324115.61)+40279</f>
        <v>11288417.052000001</v>
      </c>
      <c r="BU16" s="254"/>
      <c r="BV16" s="254">
        <v>3300000</v>
      </c>
      <c r="BW16" s="253"/>
      <c r="BX16" s="254">
        <v>0</v>
      </c>
      <c r="BY16" s="254"/>
      <c r="BZ16" s="254">
        <v>12080828</v>
      </c>
      <c r="CA16" s="254">
        <v>3370000</v>
      </c>
      <c r="CB16" s="253">
        <f>BX16</f>
        <v>0</v>
      </c>
    </row>
    <row r="17" spans="1:89" s="263" customFormat="1" ht="15" thickBot="1" thickTop="1">
      <c r="A17" s="256" t="s">
        <v>115</v>
      </c>
      <c r="B17" s="255" t="s">
        <v>48</v>
      </c>
      <c r="C17" s="254">
        <f>(1572887-10569)/12*1</f>
        <v>130193.16666666667</v>
      </c>
      <c r="D17" s="262"/>
      <c r="E17" s="254">
        <f>EXP!D47</f>
        <v>836711</v>
      </c>
      <c r="F17" s="254">
        <v>0</v>
      </c>
      <c r="G17" s="254"/>
      <c r="H17" s="254">
        <v>0</v>
      </c>
      <c r="I17" s="254">
        <v>0</v>
      </c>
      <c r="J17" s="254"/>
      <c r="K17" s="254">
        <v>0</v>
      </c>
      <c r="L17" s="254">
        <f>(1572887-10569)/12*2</f>
        <v>260386.33333333334</v>
      </c>
      <c r="M17" s="254"/>
      <c r="N17" s="254">
        <v>0</v>
      </c>
      <c r="O17" s="254"/>
      <c r="P17" s="254">
        <v>0</v>
      </c>
      <c r="Q17" s="254"/>
      <c r="R17" s="254">
        <f>(1805935-5931-4637-10109-4414)/12*3</f>
        <v>445211</v>
      </c>
      <c r="S17" s="254">
        <f>+EXP!D47</f>
        <v>836711</v>
      </c>
      <c r="T17" s="254">
        <v>72500</v>
      </c>
      <c r="U17" s="254">
        <v>13306</v>
      </c>
      <c r="V17" s="254">
        <v>0</v>
      </c>
      <c r="W17" s="254">
        <v>0</v>
      </c>
      <c r="X17" s="254">
        <f>(1805935-5931-4637-10109-4414)/12*4</f>
        <v>593614.6666666666</v>
      </c>
      <c r="Y17" s="254">
        <f>EXP!D47</f>
        <v>836711</v>
      </c>
      <c r="Z17" s="254">
        <v>72500</v>
      </c>
      <c r="AA17" s="253">
        <v>22541</v>
      </c>
      <c r="AB17" s="254">
        <v>0</v>
      </c>
      <c r="AC17" s="254">
        <v>0</v>
      </c>
      <c r="AD17" s="254">
        <f>(1805935-5931-4637-10109-4414)/12*5</f>
        <v>742018.3333333333</v>
      </c>
      <c r="AE17" s="254">
        <f>EXP!D47</f>
        <v>836711</v>
      </c>
      <c r="AF17" s="254">
        <v>72500</v>
      </c>
      <c r="AG17" s="253">
        <v>22541</v>
      </c>
      <c r="AH17" s="254">
        <v>0</v>
      </c>
      <c r="AI17" s="254">
        <v>0</v>
      </c>
      <c r="AJ17" s="254">
        <f>(1805935-5931-4637-10109-4414)/12*6</f>
        <v>890422</v>
      </c>
      <c r="AK17" s="254">
        <f>EXP!D47</f>
        <v>836711</v>
      </c>
      <c r="AL17" s="254">
        <v>385000</v>
      </c>
      <c r="AM17" s="253">
        <v>57628</v>
      </c>
      <c r="AN17" s="254">
        <v>0</v>
      </c>
      <c r="AO17" s="254">
        <v>0</v>
      </c>
      <c r="AP17" s="254">
        <f>(1572887-10569)/12*7</f>
        <v>911352.1666666667</v>
      </c>
      <c r="AQ17" s="254"/>
      <c r="AR17" s="254">
        <v>0</v>
      </c>
      <c r="AS17" s="253"/>
      <c r="AT17" s="254">
        <v>0</v>
      </c>
      <c r="AU17" s="254"/>
      <c r="AV17" s="254">
        <f>(1572887-10569)/12*8</f>
        <v>1041545.3333333334</v>
      </c>
      <c r="AW17" s="254"/>
      <c r="AX17" s="254">
        <v>0</v>
      </c>
      <c r="AY17" s="253"/>
      <c r="AZ17" s="254">
        <v>0</v>
      </c>
      <c r="BA17" s="254"/>
      <c r="BB17" s="254">
        <f>(1572887-10569)/12*9</f>
        <v>1171738.5</v>
      </c>
      <c r="BC17" s="254"/>
      <c r="BD17" s="254">
        <v>0</v>
      </c>
      <c r="BE17" s="253"/>
      <c r="BF17" s="254">
        <v>0</v>
      </c>
      <c r="BG17" s="254"/>
      <c r="BH17" s="254">
        <f>(1572887-10569)/12*10</f>
        <v>1301931.6666666667</v>
      </c>
      <c r="BI17" s="254"/>
      <c r="BJ17" s="258">
        <v>0</v>
      </c>
      <c r="BK17" s="253"/>
      <c r="BL17" s="254">
        <v>0</v>
      </c>
      <c r="BM17" s="254"/>
      <c r="BN17" s="254">
        <f>((1572887-10569)/12*11)+10569</f>
        <v>1442693.8333333335</v>
      </c>
      <c r="BO17" s="254"/>
      <c r="BP17" s="254">
        <v>0</v>
      </c>
      <c r="BQ17" s="253"/>
      <c r="BR17" s="254">
        <v>0</v>
      </c>
      <c r="BS17" s="254"/>
      <c r="BT17" s="254">
        <f>((1572887-10569)/12*12)+10569</f>
        <v>1572887</v>
      </c>
      <c r="BU17" s="254"/>
      <c r="BV17" s="254">
        <v>0</v>
      </c>
      <c r="BW17" s="253"/>
      <c r="BX17" s="254">
        <v>0</v>
      </c>
      <c r="BY17" s="254"/>
      <c r="BZ17" s="254">
        <v>1805935</v>
      </c>
      <c r="CA17" s="254">
        <v>1110000</v>
      </c>
      <c r="CB17" s="253">
        <f>BX17</f>
        <v>0</v>
      </c>
      <c r="CK17" s="263">
        <v>0</v>
      </c>
    </row>
    <row r="18" spans="1:80" s="263" customFormat="1" ht="15" thickBot="1" thickTop="1">
      <c r="A18" s="256" t="s">
        <v>116</v>
      </c>
      <c r="B18" s="255" t="s">
        <v>24</v>
      </c>
      <c r="C18" s="254">
        <f>(14310142-27240)/12*1</f>
        <v>1190241.8333333333</v>
      </c>
      <c r="D18" s="262"/>
      <c r="E18" s="254">
        <f>EXP!D53</f>
        <v>3983120</v>
      </c>
      <c r="F18" s="284">
        <v>140000</v>
      </c>
      <c r="G18" s="258"/>
      <c r="H18" s="254">
        <v>0</v>
      </c>
      <c r="I18" s="254">
        <f>I32</f>
        <v>2083.3333333333335</v>
      </c>
      <c r="J18" s="254"/>
      <c r="K18" s="254">
        <v>0</v>
      </c>
      <c r="L18" s="254">
        <f>(14310142-27240)/12*2</f>
        <v>2380483.6666666665</v>
      </c>
      <c r="M18" s="254"/>
      <c r="N18" s="284">
        <v>830000</v>
      </c>
      <c r="O18" s="258"/>
      <c r="P18" s="254">
        <f>P32</f>
        <v>4166.666666666667</v>
      </c>
      <c r="Q18" s="254"/>
      <c r="R18" s="254">
        <f>(17518604-30000)/12*3</f>
        <v>4372151</v>
      </c>
      <c r="S18" s="254">
        <f>+EXP!D53</f>
        <v>3983120</v>
      </c>
      <c r="T18" s="284">
        <v>356100</v>
      </c>
      <c r="U18" s="254">
        <v>0</v>
      </c>
      <c r="V18" s="254">
        <f>V33</f>
        <v>1667</v>
      </c>
      <c r="W18" s="254">
        <v>0</v>
      </c>
      <c r="X18" s="254">
        <f>(17518604-30000)/12*4</f>
        <v>5829534.666666667</v>
      </c>
      <c r="Y18" s="254">
        <f>EXP!D53</f>
        <v>3983120</v>
      </c>
      <c r="Z18" s="284">
        <v>356100</v>
      </c>
      <c r="AA18" s="258"/>
      <c r="AB18" s="254">
        <f>AB33</f>
        <v>3333.3333333333335</v>
      </c>
      <c r="AC18" s="254">
        <v>0</v>
      </c>
      <c r="AD18" s="254">
        <f>(17518604-30000)/12*5</f>
        <v>7286918.333333334</v>
      </c>
      <c r="AE18" s="254">
        <f>EXP!D53</f>
        <v>3983120</v>
      </c>
      <c r="AF18" s="284">
        <v>2033700</v>
      </c>
      <c r="AG18" s="254">
        <v>0</v>
      </c>
      <c r="AH18" s="254">
        <f>AH33</f>
        <v>5000</v>
      </c>
      <c r="AI18" s="254">
        <v>0</v>
      </c>
      <c r="AJ18" s="254">
        <f>(17518604-30000)/12*6</f>
        <v>8744302</v>
      </c>
      <c r="AK18" s="254">
        <f>EXP!D53</f>
        <v>3983120</v>
      </c>
      <c r="AL18" s="284">
        <v>3140200</v>
      </c>
      <c r="AM18" s="258">
        <v>30905</v>
      </c>
      <c r="AN18" s="254">
        <f>AN33</f>
        <v>6666.666666666667</v>
      </c>
      <c r="AO18" s="254">
        <v>0</v>
      </c>
      <c r="AP18" s="254">
        <f>(14310142-27240)/12*7</f>
        <v>8331692.833333333</v>
      </c>
      <c r="AQ18" s="254"/>
      <c r="AR18" s="284">
        <v>6457750</v>
      </c>
      <c r="AS18" s="258"/>
      <c r="AT18" s="254">
        <f>AT32</f>
        <v>14583.333333333334</v>
      </c>
      <c r="AU18" s="254"/>
      <c r="AV18" s="254">
        <f>(14310142-27240)/12*8</f>
        <v>9521934.666666666</v>
      </c>
      <c r="AW18" s="254"/>
      <c r="AX18" s="284">
        <v>6457750</v>
      </c>
      <c r="AY18" s="258"/>
      <c r="AZ18" s="254">
        <f>AZ32</f>
        <v>16666.666666666668</v>
      </c>
      <c r="BA18" s="254"/>
      <c r="BB18" s="254">
        <f>(14310142-27240)/12*9</f>
        <v>10712176.5</v>
      </c>
      <c r="BC18" s="254"/>
      <c r="BD18" s="284">
        <v>6457750</v>
      </c>
      <c r="BE18" s="258"/>
      <c r="BF18" s="254">
        <f>BF32</f>
        <v>18750</v>
      </c>
      <c r="BG18" s="254"/>
      <c r="BH18" s="254">
        <f>(14310142-27240)/12*10</f>
        <v>11902418.333333332</v>
      </c>
      <c r="BI18" s="254"/>
      <c r="BJ18" s="284">
        <v>6457750</v>
      </c>
      <c r="BK18" s="258"/>
      <c r="BL18" s="254">
        <f>BL32</f>
        <v>20833.333333333336</v>
      </c>
      <c r="BM18" s="254"/>
      <c r="BN18" s="254">
        <f>((14310142-27240)/12*11)+27240</f>
        <v>13119900.166666666</v>
      </c>
      <c r="BO18" s="254"/>
      <c r="BP18" s="254">
        <v>9485000</v>
      </c>
      <c r="BQ18" s="258"/>
      <c r="BR18" s="254">
        <f>BR32</f>
        <v>22916.666666666668</v>
      </c>
      <c r="BS18" s="254"/>
      <c r="BT18" s="254">
        <f>((14310142-27240)/12*12)+27240</f>
        <v>14310142</v>
      </c>
      <c r="BU18" s="254"/>
      <c r="BV18" s="254">
        <v>9485000</v>
      </c>
      <c r="BW18" s="258"/>
      <c r="BX18" s="254">
        <f>BX32</f>
        <v>25000</v>
      </c>
      <c r="BY18" s="254"/>
      <c r="BZ18" s="254">
        <v>17518605</v>
      </c>
      <c r="CA18" s="254">
        <v>10975200</v>
      </c>
      <c r="CB18" s="253">
        <v>10000</v>
      </c>
    </row>
    <row r="19" spans="1:80" s="263" customFormat="1" ht="15" thickBot="1" thickTop="1">
      <c r="A19" s="256" t="s">
        <v>117</v>
      </c>
      <c r="B19" s="255" t="s">
        <v>118</v>
      </c>
      <c r="C19" s="254">
        <f>(10637073-85167)/12*1</f>
        <v>879325.5</v>
      </c>
      <c r="D19" s="262"/>
      <c r="E19" s="254">
        <f>EXP!D61</f>
        <v>4637816</v>
      </c>
      <c r="F19" s="283">
        <v>0</v>
      </c>
      <c r="G19" s="282"/>
      <c r="H19" s="254">
        <v>0</v>
      </c>
      <c r="I19" s="254">
        <f>I37</f>
        <v>1862750</v>
      </c>
      <c r="J19" s="254">
        <v>1</v>
      </c>
      <c r="K19" s="254">
        <v>0</v>
      </c>
      <c r="L19" s="254">
        <f>(10637073-85167)/12*2</f>
        <v>1758651</v>
      </c>
      <c r="M19" s="254">
        <v>1</v>
      </c>
      <c r="N19" s="281">
        <v>0</v>
      </c>
      <c r="O19" s="254"/>
      <c r="P19" s="254">
        <f>P37</f>
        <v>1862750</v>
      </c>
      <c r="Q19" s="254"/>
      <c r="R19" s="254">
        <f>(12696134-25000-80440-32470-88751-117368)/12*3</f>
        <v>3088026.25</v>
      </c>
      <c r="S19" s="254">
        <f>+EXP!D61</f>
        <v>4637816</v>
      </c>
      <c r="T19" s="280">
        <v>100000</v>
      </c>
      <c r="U19" s="254">
        <v>0</v>
      </c>
      <c r="V19" s="254">
        <f>V37</f>
        <v>1970250</v>
      </c>
      <c r="W19" s="254">
        <v>2502834</v>
      </c>
      <c r="X19" s="254">
        <f>(12696134-25000-80440-32470-88751-117368)/12*4</f>
        <v>4117368.3333333335</v>
      </c>
      <c r="Y19" s="254">
        <f>EXP!D61</f>
        <v>4637816</v>
      </c>
      <c r="Z19" s="280">
        <v>100000</v>
      </c>
      <c r="AA19" s="254"/>
      <c r="AB19" s="254">
        <f>AB37</f>
        <v>3940500</v>
      </c>
      <c r="AC19" s="254">
        <v>3280009</v>
      </c>
      <c r="AD19" s="254">
        <f>(12696134-25000-80440-32470-88751-117368)/12*5</f>
        <v>5146710.416666667</v>
      </c>
      <c r="AE19" s="254">
        <f>EXP!D61</f>
        <v>4637816</v>
      </c>
      <c r="AF19" s="280">
        <v>100000</v>
      </c>
      <c r="AG19" s="254">
        <v>0</v>
      </c>
      <c r="AH19" s="254">
        <f>AH37</f>
        <v>3940500</v>
      </c>
      <c r="AI19" s="254">
        <v>3940500</v>
      </c>
      <c r="AJ19" s="254">
        <f>(12696134-25000-80440-32470-88751-117368)/12*6</f>
        <v>6176052.5</v>
      </c>
      <c r="AK19" s="254">
        <f>EXP!D61</f>
        <v>4637816</v>
      </c>
      <c r="AL19" s="280">
        <v>300000</v>
      </c>
      <c r="AM19" s="254">
        <v>0</v>
      </c>
      <c r="AN19" s="254">
        <f>AN37</f>
        <v>3940500</v>
      </c>
      <c r="AO19" s="254">
        <v>4697686</v>
      </c>
      <c r="AP19" s="254">
        <f>(10637073-85167)/12*7</f>
        <v>6155278.5</v>
      </c>
      <c r="AQ19" s="254"/>
      <c r="AR19" s="280">
        <v>200000</v>
      </c>
      <c r="AS19" s="254"/>
      <c r="AT19" s="254">
        <f>AT37</f>
        <v>5803250</v>
      </c>
      <c r="AU19" s="254"/>
      <c r="AV19" s="254">
        <f>(10637073-85167)/12*8</f>
        <v>7034604</v>
      </c>
      <c r="AW19" s="254"/>
      <c r="AX19" s="280">
        <v>200000</v>
      </c>
      <c r="AY19" s="254"/>
      <c r="AZ19" s="254">
        <f>AZ37</f>
        <v>5803250</v>
      </c>
      <c r="BA19" s="254"/>
      <c r="BB19" s="254">
        <f>(10637073-85167)/12*9</f>
        <v>7913929.5</v>
      </c>
      <c r="BC19" s="254"/>
      <c r="BD19" s="280">
        <v>1000000</v>
      </c>
      <c r="BE19" s="254"/>
      <c r="BF19" s="254">
        <f>BF37</f>
        <v>5803250</v>
      </c>
      <c r="BG19" s="254"/>
      <c r="BH19" s="254">
        <f>(10637073-85167)/12*10</f>
        <v>8793255</v>
      </c>
      <c r="BI19" s="254"/>
      <c r="BJ19" s="280">
        <v>1000000</v>
      </c>
      <c r="BK19" s="254"/>
      <c r="BL19" s="254">
        <f>BL37</f>
        <v>7666000</v>
      </c>
      <c r="BM19" s="254"/>
      <c r="BN19" s="254">
        <f>((10637073-85167)/12*11)+85167</f>
        <v>9757747.5</v>
      </c>
      <c r="BO19" s="254"/>
      <c r="BP19" s="280">
        <v>1000000</v>
      </c>
      <c r="BQ19" s="254"/>
      <c r="BR19" s="254">
        <f>BR37</f>
        <v>7666000</v>
      </c>
      <c r="BS19" s="254"/>
      <c r="BT19" s="254">
        <f>((10637073-85167)/12*12)+85167</f>
        <v>10637073</v>
      </c>
      <c r="BU19" s="254"/>
      <c r="BV19" s="280">
        <v>1000000</v>
      </c>
      <c r="BW19" s="254"/>
      <c r="BX19" s="254">
        <f>BX37</f>
        <v>7666000</v>
      </c>
      <c r="BY19" s="254"/>
      <c r="BZ19" s="254">
        <v>12696134</v>
      </c>
      <c r="CA19" s="254">
        <v>1000000</v>
      </c>
      <c r="CB19" s="253">
        <v>7881000</v>
      </c>
    </row>
    <row r="20" spans="1:80" s="263" customFormat="1" ht="15" thickBot="1" thickTop="1">
      <c r="A20" s="256" t="s">
        <v>119</v>
      </c>
      <c r="B20" s="255" t="s">
        <v>56</v>
      </c>
      <c r="C20" s="254">
        <f>(2907969-16366)/12*1</f>
        <v>240966.91666666666</v>
      </c>
      <c r="D20" s="262"/>
      <c r="E20" s="254">
        <f>EXP!D71</f>
        <v>1539019</v>
      </c>
      <c r="F20" s="254">
        <v>0</v>
      </c>
      <c r="G20" s="254"/>
      <c r="H20" s="254">
        <v>0</v>
      </c>
      <c r="I20" s="254">
        <f>I27</f>
        <v>109000</v>
      </c>
      <c r="J20" s="254">
        <v>1</v>
      </c>
      <c r="K20" s="254">
        <v>49955</v>
      </c>
      <c r="L20" s="254">
        <f>(2907969-16366)/12*2</f>
        <v>481933.8333333333</v>
      </c>
      <c r="M20" s="254"/>
      <c r="N20" s="254">
        <v>0</v>
      </c>
      <c r="O20" s="254">
        <v>1</v>
      </c>
      <c r="P20" s="262">
        <f>P27</f>
        <v>218000</v>
      </c>
      <c r="Q20" s="254"/>
      <c r="R20" s="254">
        <f>(3461007-45000-7871-5530-86524-47930)/12*3</f>
        <v>817038</v>
      </c>
      <c r="S20" s="254">
        <f>+EXP!D71</f>
        <v>1539019</v>
      </c>
      <c r="T20" s="254">
        <v>134000</v>
      </c>
      <c r="U20" s="254">
        <v>0</v>
      </c>
      <c r="V20" s="254">
        <f>V27+V31</f>
        <v>311625</v>
      </c>
      <c r="W20" s="254">
        <v>156877</v>
      </c>
      <c r="X20" s="254">
        <f>(3461007-45000-7871-5530-86524-47930)/12*4</f>
        <v>1089384</v>
      </c>
      <c r="Y20" s="254">
        <f>EXP!D71</f>
        <v>1539019</v>
      </c>
      <c r="Z20" s="254">
        <v>134000</v>
      </c>
      <c r="AA20" s="254"/>
      <c r="AB20" s="254">
        <f>AB27+AB31</f>
        <v>415500</v>
      </c>
      <c r="AC20" s="254">
        <v>199129</v>
      </c>
      <c r="AD20" s="254">
        <f>(3461007-45000-7871-5530-86524-47930)/12*5</f>
        <v>1361730</v>
      </c>
      <c r="AE20" s="254">
        <f>EXP!D71</f>
        <v>1539019</v>
      </c>
      <c r="AF20" s="254">
        <v>268000</v>
      </c>
      <c r="AG20" s="254">
        <v>0</v>
      </c>
      <c r="AH20" s="254">
        <f>AH27+AH31</f>
        <v>519375.00000000006</v>
      </c>
      <c r="AI20" s="254">
        <v>275039</v>
      </c>
      <c r="AJ20" s="254">
        <f>(3461007-45000-7871-5530-86524-47930)/12*6</f>
        <v>1634076</v>
      </c>
      <c r="AK20" s="254">
        <f>EXP!D71</f>
        <v>1539019</v>
      </c>
      <c r="AL20" s="254">
        <v>268000</v>
      </c>
      <c r="AM20" s="254">
        <v>102000</v>
      </c>
      <c r="AN20" s="254">
        <f>AN27+AN31</f>
        <v>623250</v>
      </c>
      <c r="AO20" s="254">
        <v>338565</v>
      </c>
      <c r="AP20" s="254">
        <f>(2907969-16366)/12*7</f>
        <v>1686768.4166666665</v>
      </c>
      <c r="AQ20" s="254"/>
      <c r="AR20" s="254">
        <v>0</v>
      </c>
      <c r="AS20" s="254"/>
      <c r="AT20" s="254">
        <f>AT27+AT29</f>
        <v>722935</v>
      </c>
      <c r="AU20" s="254"/>
      <c r="AV20" s="254">
        <f>(2907969-16366)/12*8</f>
        <v>1927735.3333333333</v>
      </c>
      <c r="AW20" s="254"/>
      <c r="AX20" s="254">
        <v>0</v>
      </c>
      <c r="AY20" s="254"/>
      <c r="AZ20" s="254">
        <f>AZ27+AZ29</f>
        <v>832435</v>
      </c>
      <c r="BA20" s="254"/>
      <c r="BB20" s="254">
        <f>(2907969-16366)/12*9</f>
        <v>2168702.25</v>
      </c>
      <c r="BC20" s="254"/>
      <c r="BD20" s="254">
        <v>0</v>
      </c>
      <c r="BE20" s="254"/>
      <c r="BF20" s="254">
        <f>BF27+BF29</f>
        <v>941935</v>
      </c>
      <c r="BG20" s="254"/>
      <c r="BH20" s="254">
        <f>(2907969-16366)/12*10</f>
        <v>2409669.1666666665</v>
      </c>
      <c r="BI20" s="254"/>
      <c r="BJ20" s="254">
        <v>0</v>
      </c>
      <c r="BK20" s="254"/>
      <c r="BL20" s="254">
        <f>BL27+BL29</f>
        <v>1050935</v>
      </c>
      <c r="BM20" s="254"/>
      <c r="BN20" s="254">
        <f>((2907969-16366)/12*11)+16366</f>
        <v>2667002.083333333</v>
      </c>
      <c r="BO20" s="254"/>
      <c r="BP20" s="254">
        <v>0</v>
      </c>
      <c r="BQ20" s="254"/>
      <c r="BR20" s="254">
        <f>BR27+BR29</f>
        <v>1159935</v>
      </c>
      <c r="BS20" s="254"/>
      <c r="BT20" s="254">
        <f>((2907969-16366)/12*12)+16366</f>
        <v>2907969</v>
      </c>
      <c r="BU20" s="254"/>
      <c r="BV20" s="254">
        <v>0</v>
      </c>
      <c r="BW20" s="254"/>
      <c r="BX20" s="254">
        <f>BX27+BX29</f>
        <v>1268935</v>
      </c>
      <c r="BY20" s="254"/>
      <c r="BZ20" s="254">
        <v>3461007</v>
      </c>
      <c r="CA20" s="254">
        <v>2934048</v>
      </c>
      <c r="CB20" s="253">
        <v>1246500</v>
      </c>
    </row>
    <row r="21" spans="1:80" s="275" customFormat="1" ht="15" thickBot="1" thickTop="1">
      <c r="A21" s="279"/>
      <c r="B21" s="278" t="s">
        <v>120</v>
      </c>
      <c r="C21" s="249">
        <f>SUM(C11:C20)</f>
        <v>5981310.526666666</v>
      </c>
      <c r="D21" s="277"/>
      <c r="E21" s="249">
        <f>SUM(E11:E20)</f>
        <v>30227755</v>
      </c>
      <c r="F21" s="276">
        <f>SUM(F10:F20)</f>
        <v>650000</v>
      </c>
      <c r="G21" s="276"/>
      <c r="H21" s="276">
        <f>SUM(H11:H20)</f>
        <v>86900</v>
      </c>
      <c r="I21" s="276">
        <f>SUM(I10:I20)</f>
        <v>37562346.66666667</v>
      </c>
      <c r="J21" s="276"/>
      <c r="K21" s="276">
        <f>SUM(K11:K20)</f>
        <v>33625848</v>
      </c>
      <c r="L21" s="249">
        <f>SUM(L10:L20)</f>
        <v>12312621.053333333</v>
      </c>
      <c r="M21" s="276"/>
      <c r="N21" s="276">
        <f>SUM(N10:N20)</f>
        <v>1410000</v>
      </c>
      <c r="O21" s="276"/>
      <c r="P21" s="276">
        <f>SUM(P10:P20)</f>
        <v>38677638.33333333</v>
      </c>
      <c r="Q21" s="276"/>
      <c r="R21" s="249">
        <f>SUM(R10:R20)</f>
        <v>19765790.5</v>
      </c>
      <c r="S21" s="276">
        <f>SUM(S11:S20)</f>
        <v>30227755</v>
      </c>
      <c r="T21" s="276">
        <f>SUM(T10:T20)</f>
        <v>3225600</v>
      </c>
      <c r="U21" s="276">
        <f>SUM(U11:U20)</f>
        <v>101741</v>
      </c>
      <c r="V21" s="276">
        <f>SUM(V10:V20)</f>
        <v>40357666</v>
      </c>
      <c r="W21" s="276">
        <f>SUM(W11:W20)</f>
        <v>40302367</v>
      </c>
      <c r="X21" s="249">
        <f>SUM(X10:X20)</f>
        <v>26480220.666666664</v>
      </c>
      <c r="Y21" s="276">
        <f>SUM(Y11:Y20)</f>
        <v>30227755</v>
      </c>
      <c r="Z21" s="276">
        <f>SUM(Z10:Z20)</f>
        <v>3950600</v>
      </c>
      <c r="AA21" s="276">
        <f>SUM(AA11:AA20)</f>
        <v>602599</v>
      </c>
      <c r="AB21" s="276">
        <f>SUM(AB10:AB20)</f>
        <v>43282790.666666664</v>
      </c>
      <c r="AC21" s="276">
        <f>SUM(AC11:AC20)</f>
        <v>41798354</v>
      </c>
      <c r="AD21" s="249">
        <f>SUM(AD10:AD20)</f>
        <v>33294650.833333332</v>
      </c>
      <c r="AE21" s="276">
        <f>SUM(AE11:AE20)</f>
        <v>30227755</v>
      </c>
      <c r="AF21" s="276">
        <f>SUM(AF10:AF20)</f>
        <v>7497700</v>
      </c>
      <c r="AG21" s="276">
        <f>SUM(AG11:AG20)</f>
        <v>946412</v>
      </c>
      <c r="AH21" s="276">
        <f>SUM(AH10:AH20)</f>
        <v>72642564.66666666</v>
      </c>
      <c r="AI21" s="276">
        <f>SUM(AI11:AI20)</f>
        <v>71568773</v>
      </c>
      <c r="AJ21" s="249">
        <f>SUM(AJ10:AJ20)</f>
        <v>40009081</v>
      </c>
      <c r="AK21" s="276">
        <f>SUM(AK11:AK20)</f>
        <v>30227755</v>
      </c>
      <c r="AL21" s="276">
        <f>SUM(AL10:AL20)</f>
        <v>12363700</v>
      </c>
      <c r="AM21" s="276">
        <f>SUM(AM12:AM20)</f>
        <v>1366099</v>
      </c>
      <c r="AN21" s="276">
        <f>SUM(AN10:AN20)</f>
        <v>73730439.66666667</v>
      </c>
      <c r="AO21" s="276">
        <f>SUM(AO11:AO20)</f>
        <v>73763092</v>
      </c>
      <c r="AP21" s="249">
        <f>SUM(AP10:AP20)</f>
        <v>41647441.61366666</v>
      </c>
      <c r="AQ21" s="276"/>
      <c r="AR21" s="276">
        <f>SUM(AR10:AR20)</f>
        <v>18077750</v>
      </c>
      <c r="AS21" s="276"/>
      <c r="AT21" s="276">
        <f>SUM(AT10:AT20)</f>
        <v>75656249.66666666</v>
      </c>
      <c r="AU21" s="276"/>
      <c r="AV21" s="249">
        <f>SUM(AV10:AV20)</f>
        <v>47411163.70133333</v>
      </c>
      <c r="AW21" s="276"/>
      <c r="AX21" s="276">
        <f>SUM(AX10:AX20)</f>
        <v>18647750</v>
      </c>
      <c r="AY21" s="276"/>
      <c r="AZ21" s="276">
        <f>SUM(AZ10:AZ20)</f>
        <v>76672041.33333334</v>
      </c>
      <c r="BA21" s="276"/>
      <c r="BB21" s="249">
        <f>SUM(BB10:BB20)</f>
        <v>53174885.789000005</v>
      </c>
      <c r="BC21" s="276"/>
      <c r="BD21" s="276">
        <f>SUM(BD10:BD20)</f>
        <v>21922750</v>
      </c>
      <c r="BE21" s="276"/>
      <c r="BF21" s="276">
        <f>SUM(BF10:BF20)</f>
        <v>97237416</v>
      </c>
      <c r="BG21" s="276"/>
      <c r="BH21" s="249">
        <f>SUM(BH10:BH20)</f>
        <v>58938607.87666666</v>
      </c>
      <c r="BI21" s="276"/>
      <c r="BJ21" s="276">
        <f>SUM(BJ10:BJ20)</f>
        <v>22142750</v>
      </c>
      <c r="BK21" s="276"/>
      <c r="BL21" s="276">
        <f>SUM(BL10:BL20)</f>
        <v>99915457.66666666</v>
      </c>
      <c r="BM21" s="276"/>
      <c r="BN21" s="249">
        <f>SUM(BN10:BN20)</f>
        <v>65055073.96433333</v>
      </c>
      <c r="BO21" s="276"/>
      <c r="BP21" s="276">
        <f>SUM(BP10:BP20)</f>
        <v>26905000</v>
      </c>
      <c r="BQ21" s="276"/>
      <c r="BR21" s="276">
        <f>SUM(BR10:BR20)</f>
        <v>100730749.33333334</v>
      </c>
      <c r="BS21" s="276"/>
      <c r="BT21" s="249">
        <f>SUM(BT10:BT20)</f>
        <v>70818796.052</v>
      </c>
      <c r="BU21" s="276"/>
      <c r="BV21" s="276">
        <f>SUM(BV10:BV20)</f>
        <v>29305000</v>
      </c>
      <c r="BW21" s="276"/>
      <c r="BX21" s="276">
        <f>SUM(BX10:BX20)</f>
        <v>101446041</v>
      </c>
      <c r="BY21" s="276"/>
      <c r="BZ21" s="276">
        <f>SUM(BZ10:BZ20)</f>
        <v>82211750</v>
      </c>
      <c r="CA21" s="249">
        <f>SUM(CA10:CA20)</f>
        <v>45876193</v>
      </c>
      <c r="CB21" s="248">
        <f>SUM(CB10:CB20)</f>
        <v>105601500</v>
      </c>
    </row>
    <row r="22" spans="1:80" s="271" customFormat="1" ht="15" thickBot="1" thickTop="1">
      <c r="A22" s="274"/>
      <c r="B22" s="273"/>
      <c r="C22" s="356">
        <f>C21+F21</f>
        <v>6631310.526666666</v>
      </c>
      <c r="D22" s="359"/>
      <c r="E22" s="359"/>
      <c r="F22" s="358"/>
      <c r="G22" s="272"/>
      <c r="H22" s="272"/>
      <c r="I22" s="249">
        <f>I44</f>
        <v>37562346.666666664</v>
      </c>
      <c r="J22" s="272"/>
      <c r="K22" s="291"/>
      <c r="L22" s="356">
        <f>L21+N21</f>
        <v>13722621.053333333</v>
      </c>
      <c r="M22" s="357"/>
      <c r="N22" s="358"/>
      <c r="O22" s="272"/>
      <c r="P22" s="249">
        <f>P44</f>
        <v>38677638.333333336</v>
      </c>
      <c r="Q22" s="272"/>
      <c r="R22" s="356">
        <f>R21+T21</f>
        <v>22991390.5</v>
      </c>
      <c r="S22" s="357"/>
      <c r="T22" s="358"/>
      <c r="U22" s="272"/>
      <c r="V22" s="249">
        <f>V44</f>
        <v>40357666</v>
      </c>
      <c r="W22" s="272"/>
      <c r="X22" s="356">
        <f>X21+Z21</f>
        <v>30430820.666666664</v>
      </c>
      <c r="Y22" s="357"/>
      <c r="Z22" s="358"/>
      <c r="AA22" s="272"/>
      <c r="AB22" s="249">
        <f>AB44</f>
        <v>43282790.66666667</v>
      </c>
      <c r="AC22" s="272"/>
      <c r="AD22" s="356">
        <f>AD21+AF21</f>
        <v>40792350.83333333</v>
      </c>
      <c r="AE22" s="357"/>
      <c r="AF22" s="358"/>
      <c r="AG22" s="272"/>
      <c r="AH22" s="249">
        <f>AH44</f>
        <v>72642564.66666667</v>
      </c>
      <c r="AI22" s="272"/>
      <c r="AJ22" s="356">
        <f>AJ21+AL21</f>
        <v>52372781</v>
      </c>
      <c r="AK22" s="357"/>
      <c r="AL22" s="358"/>
      <c r="AM22" s="272"/>
      <c r="AN22" s="249">
        <f>AN44</f>
        <v>73730439.66666667</v>
      </c>
      <c r="AO22" s="272"/>
      <c r="AP22" s="356">
        <f>AP21+AR21</f>
        <v>59725191.61366666</v>
      </c>
      <c r="AQ22" s="357"/>
      <c r="AR22" s="358"/>
      <c r="AS22" s="272"/>
      <c r="AT22" s="249">
        <f>AT44</f>
        <v>76156249.66666667</v>
      </c>
      <c r="AU22" s="272"/>
      <c r="AV22" s="356">
        <f>AV21+AX21</f>
        <v>66058913.70133333</v>
      </c>
      <c r="AW22" s="357"/>
      <c r="AX22" s="358"/>
      <c r="AY22" s="272"/>
      <c r="AZ22" s="249">
        <f>AZ44</f>
        <v>77172041.33333333</v>
      </c>
      <c r="BA22" s="272"/>
      <c r="BB22" s="356">
        <f>BB21+BD21</f>
        <v>75097635.789</v>
      </c>
      <c r="BC22" s="357"/>
      <c r="BD22" s="358"/>
      <c r="BE22" s="272"/>
      <c r="BF22" s="249">
        <f>BF44</f>
        <v>97737416</v>
      </c>
      <c r="BG22" s="272"/>
      <c r="BH22" s="356">
        <f>BH21+BJ21</f>
        <v>81081357.87666667</v>
      </c>
      <c r="BI22" s="357"/>
      <c r="BJ22" s="358"/>
      <c r="BK22" s="272"/>
      <c r="BL22" s="249">
        <f>BL44</f>
        <v>100415457.66666667</v>
      </c>
      <c r="BM22" s="272"/>
      <c r="BN22" s="356">
        <f>BN21+BP21</f>
        <v>91960073.96433333</v>
      </c>
      <c r="BO22" s="357"/>
      <c r="BP22" s="358"/>
      <c r="BQ22" s="272"/>
      <c r="BR22" s="249">
        <f>BR44</f>
        <v>101230749.33333333</v>
      </c>
      <c r="BS22" s="272"/>
      <c r="BT22" s="356">
        <f>BT21+BV21</f>
        <v>100123796.052</v>
      </c>
      <c r="BU22" s="357"/>
      <c r="BV22" s="358"/>
      <c r="BW22" s="272"/>
      <c r="BX22" s="249">
        <f>BX44</f>
        <v>101946041</v>
      </c>
      <c r="BY22" s="272"/>
      <c r="BZ22" s="356">
        <f>BZ21+CA21</f>
        <v>128087943</v>
      </c>
      <c r="CA22" s="358"/>
      <c r="CB22" s="249">
        <f>CB44</f>
        <v>105601500</v>
      </c>
    </row>
    <row r="23" spans="1:80" s="247" customFormat="1" ht="14.25" thickBot="1" thickTop="1">
      <c r="A23" s="252"/>
      <c r="B23" s="270" t="s">
        <v>121</v>
      </c>
      <c r="C23" s="349" t="s">
        <v>80</v>
      </c>
      <c r="D23" s="350"/>
      <c r="E23" s="350"/>
      <c r="F23" s="350"/>
      <c r="G23" s="350"/>
      <c r="H23" s="350"/>
      <c r="I23" s="350"/>
      <c r="J23" s="351"/>
      <c r="K23" s="289"/>
      <c r="L23" s="355" t="s">
        <v>81</v>
      </c>
      <c r="M23" s="355"/>
      <c r="N23" s="355"/>
      <c r="O23" s="355"/>
      <c r="P23" s="355"/>
      <c r="Q23" s="355"/>
      <c r="R23" s="355" t="s">
        <v>82</v>
      </c>
      <c r="S23" s="355"/>
      <c r="T23" s="355"/>
      <c r="U23" s="355"/>
      <c r="V23" s="355"/>
      <c r="W23" s="355"/>
      <c r="X23" s="349" t="s">
        <v>83</v>
      </c>
      <c r="Y23" s="350"/>
      <c r="Z23" s="350"/>
      <c r="AA23" s="350"/>
      <c r="AB23" s="350"/>
      <c r="AC23" s="351"/>
      <c r="AD23" s="349" t="s">
        <v>84</v>
      </c>
      <c r="AE23" s="350"/>
      <c r="AF23" s="350"/>
      <c r="AG23" s="350"/>
      <c r="AH23" s="350"/>
      <c r="AI23" s="351"/>
      <c r="AJ23" s="349" t="s">
        <v>85</v>
      </c>
      <c r="AK23" s="350"/>
      <c r="AL23" s="350"/>
      <c r="AM23" s="350"/>
      <c r="AN23" s="350"/>
      <c r="AO23" s="351"/>
      <c r="AP23" s="349" t="s">
        <v>86</v>
      </c>
      <c r="AQ23" s="350"/>
      <c r="AR23" s="350"/>
      <c r="AS23" s="350"/>
      <c r="AT23" s="350"/>
      <c r="AU23" s="351"/>
      <c r="AV23" s="349" t="s">
        <v>87</v>
      </c>
      <c r="AW23" s="350"/>
      <c r="AX23" s="350"/>
      <c r="AY23" s="350"/>
      <c r="AZ23" s="350"/>
      <c r="BA23" s="351"/>
      <c r="BB23" s="349" t="s">
        <v>88</v>
      </c>
      <c r="BC23" s="350"/>
      <c r="BD23" s="350"/>
      <c r="BE23" s="350"/>
      <c r="BF23" s="350"/>
      <c r="BG23" s="351"/>
      <c r="BH23" s="349" t="s">
        <v>89</v>
      </c>
      <c r="BI23" s="350"/>
      <c r="BJ23" s="350"/>
      <c r="BK23" s="350"/>
      <c r="BL23" s="350"/>
      <c r="BM23" s="351"/>
      <c r="BN23" s="349" t="s">
        <v>90</v>
      </c>
      <c r="BO23" s="350"/>
      <c r="BP23" s="350"/>
      <c r="BQ23" s="350"/>
      <c r="BR23" s="350"/>
      <c r="BS23" s="351"/>
      <c r="BT23" s="349" t="s">
        <v>91</v>
      </c>
      <c r="BU23" s="350"/>
      <c r="BV23" s="350"/>
      <c r="BW23" s="350"/>
      <c r="BX23" s="350"/>
      <c r="BY23" s="351"/>
      <c r="BZ23" s="349" t="s">
        <v>122</v>
      </c>
      <c r="CA23" s="350"/>
      <c r="CB23" s="351"/>
    </row>
    <row r="24" spans="1:80" s="247" customFormat="1" ht="14.25" thickBot="1" thickTop="1">
      <c r="A24" s="252"/>
      <c r="B24" s="251"/>
      <c r="C24" s="349">
        <v>2008</v>
      </c>
      <c r="D24" s="350"/>
      <c r="E24" s="350"/>
      <c r="F24" s="350"/>
      <c r="G24" s="350"/>
      <c r="H24" s="350"/>
      <c r="I24" s="350"/>
      <c r="J24" s="351"/>
      <c r="K24" s="289"/>
      <c r="L24" s="355">
        <v>2008</v>
      </c>
      <c r="M24" s="355"/>
      <c r="N24" s="355"/>
      <c r="O24" s="355"/>
      <c r="P24" s="355"/>
      <c r="Q24" s="355"/>
      <c r="R24" s="355">
        <v>2008</v>
      </c>
      <c r="S24" s="355"/>
      <c r="T24" s="355"/>
      <c r="U24" s="355"/>
      <c r="V24" s="355"/>
      <c r="W24" s="355"/>
      <c r="X24" s="355">
        <v>2008</v>
      </c>
      <c r="Y24" s="355"/>
      <c r="Z24" s="355"/>
      <c r="AA24" s="355"/>
      <c r="AB24" s="355"/>
      <c r="AC24" s="355"/>
      <c r="AD24" s="355">
        <v>2008</v>
      </c>
      <c r="AE24" s="355"/>
      <c r="AF24" s="355"/>
      <c r="AG24" s="355"/>
      <c r="AH24" s="355"/>
      <c r="AI24" s="355"/>
      <c r="AJ24" s="355">
        <v>2008</v>
      </c>
      <c r="AK24" s="355"/>
      <c r="AL24" s="355"/>
      <c r="AM24" s="355"/>
      <c r="AN24" s="355"/>
      <c r="AO24" s="355"/>
      <c r="AP24" s="349">
        <v>2009</v>
      </c>
      <c r="AQ24" s="350"/>
      <c r="AR24" s="350"/>
      <c r="AS24" s="350"/>
      <c r="AT24" s="350"/>
      <c r="AU24" s="351"/>
      <c r="AV24" s="349">
        <v>2009</v>
      </c>
      <c r="AW24" s="350"/>
      <c r="AX24" s="350"/>
      <c r="AY24" s="350"/>
      <c r="AZ24" s="350"/>
      <c r="BA24" s="351"/>
      <c r="BB24" s="349">
        <v>2009</v>
      </c>
      <c r="BC24" s="350"/>
      <c r="BD24" s="350"/>
      <c r="BE24" s="350"/>
      <c r="BF24" s="350"/>
      <c r="BG24" s="351"/>
      <c r="BH24" s="349">
        <v>2009</v>
      </c>
      <c r="BI24" s="350"/>
      <c r="BJ24" s="350"/>
      <c r="BK24" s="350"/>
      <c r="BL24" s="350"/>
      <c r="BM24" s="351"/>
      <c r="BN24" s="349">
        <v>2009</v>
      </c>
      <c r="BO24" s="350"/>
      <c r="BP24" s="350"/>
      <c r="BQ24" s="350"/>
      <c r="BR24" s="350"/>
      <c r="BS24" s="351"/>
      <c r="BT24" s="349">
        <v>2009</v>
      </c>
      <c r="BU24" s="350"/>
      <c r="BV24" s="350"/>
      <c r="BW24" s="350"/>
      <c r="BX24" s="350"/>
      <c r="BY24" s="351"/>
      <c r="BZ24" s="269"/>
      <c r="CA24" s="268" t="s">
        <v>93</v>
      </c>
      <c r="CB24" s="268"/>
    </row>
    <row r="25" spans="1:80" s="247" customFormat="1" ht="14.25" thickBot="1" thickTop="1">
      <c r="A25" s="252"/>
      <c r="B25" s="251"/>
      <c r="C25" s="266"/>
      <c r="D25" s="266"/>
      <c r="E25" s="266"/>
      <c r="F25" s="266"/>
      <c r="G25" s="266"/>
      <c r="H25" s="266"/>
      <c r="I25" s="266" t="s">
        <v>98</v>
      </c>
      <c r="J25" s="266" t="s">
        <v>99</v>
      </c>
      <c r="K25" s="266"/>
      <c r="L25" s="266"/>
      <c r="M25" s="266"/>
      <c r="N25" s="266"/>
      <c r="O25" s="266"/>
      <c r="P25" s="266" t="s">
        <v>98</v>
      </c>
      <c r="Q25" s="266" t="s">
        <v>99</v>
      </c>
      <c r="R25" s="266"/>
      <c r="S25" s="266"/>
      <c r="T25" s="266"/>
      <c r="U25" s="266"/>
      <c r="V25" s="266" t="s">
        <v>98</v>
      </c>
      <c r="W25" s="266" t="s">
        <v>99</v>
      </c>
      <c r="X25" s="266" t="s">
        <v>94</v>
      </c>
      <c r="Y25" s="266" t="s">
        <v>95</v>
      </c>
      <c r="Z25" s="266" t="s">
        <v>123</v>
      </c>
      <c r="AA25" s="266" t="s">
        <v>97</v>
      </c>
      <c r="AB25" s="266" t="s">
        <v>98</v>
      </c>
      <c r="AC25" s="266" t="s">
        <v>99</v>
      </c>
      <c r="AD25" s="266" t="s">
        <v>94</v>
      </c>
      <c r="AE25" s="266" t="s">
        <v>95</v>
      </c>
      <c r="AF25" s="266" t="s">
        <v>123</v>
      </c>
      <c r="AG25" s="266" t="s">
        <v>97</v>
      </c>
      <c r="AH25" s="266" t="s">
        <v>98</v>
      </c>
      <c r="AI25" s="266" t="s">
        <v>99</v>
      </c>
      <c r="AJ25" s="266" t="s">
        <v>94</v>
      </c>
      <c r="AK25" s="266" t="s">
        <v>95</v>
      </c>
      <c r="AL25" s="266" t="s">
        <v>123</v>
      </c>
      <c r="AM25" s="266" t="s">
        <v>97</v>
      </c>
      <c r="AN25" s="266" t="s">
        <v>98</v>
      </c>
      <c r="AO25" s="266" t="s">
        <v>99</v>
      </c>
      <c r="AP25" s="266" t="s">
        <v>94</v>
      </c>
      <c r="AQ25" s="266" t="s">
        <v>95</v>
      </c>
      <c r="AR25" s="266" t="s">
        <v>123</v>
      </c>
      <c r="AS25" s="266" t="s">
        <v>97</v>
      </c>
      <c r="AT25" s="266" t="s">
        <v>98</v>
      </c>
      <c r="AU25" s="266" t="s">
        <v>99</v>
      </c>
      <c r="AV25" s="266" t="s">
        <v>94</v>
      </c>
      <c r="AW25" s="266" t="s">
        <v>95</v>
      </c>
      <c r="AX25" s="266" t="s">
        <v>123</v>
      </c>
      <c r="AY25" s="266" t="s">
        <v>97</v>
      </c>
      <c r="AZ25" s="266" t="s">
        <v>98</v>
      </c>
      <c r="BA25" s="266" t="s">
        <v>99</v>
      </c>
      <c r="BB25" s="266" t="s">
        <v>94</v>
      </c>
      <c r="BC25" s="266" t="s">
        <v>95</v>
      </c>
      <c r="BD25" s="266" t="s">
        <v>123</v>
      </c>
      <c r="BE25" s="266" t="s">
        <v>97</v>
      </c>
      <c r="BF25" s="266" t="s">
        <v>98</v>
      </c>
      <c r="BG25" s="266" t="s">
        <v>99</v>
      </c>
      <c r="BH25" s="266" t="s">
        <v>94</v>
      </c>
      <c r="BI25" s="266" t="s">
        <v>95</v>
      </c>
      <c r="BJ25" s="266" t="s">
        <v>123</v>
      </c>
      <c r="BK25" s="266" t="s">
        <v>97</v>
      </c>
      <c r="BL25" s="266" t="s">
        <v>98</v>
      </c>
      <c r="BM25" s="266" t="s">
        <v>99</v>
      </c>
      <c r="BN25" s="266" t="s">
        <v>94</v>
      </c>
      <c r="BO25" s="266" t="s">
        <v>95</v>
      </c>
      <c r="BP25" s="266" t="s">
        <v>123</v>
      </c>
      <c r="BQ25" s="266" t="s">
        <v>97</v>
      </c>
      <c r="BR25" s="266" t="s">
        <v>98</v>
      </c>
      <c r="BS25" s="266" t="s">
        <v>99</v>
      </c>
      <c r="BT25" s="266" t="s">
        <v>94</v>
      </c>
      <c r="BU25" s="266" t="s">
        <v>95</v>
      </c>
      <c r="BV25" s="266" t="s">
        <v>123</v>
      </c>
      <c r="BW25" s="266" t="s">
        <v>97</v>
      </c>
      <c r="BX25" s="266" t="s">
        <v>98</v>
      </c>
      <c r="BY25" s="266" t="s">
        <v>99</v>
      </c>
      <c r="BZ25" s="267" t="s">
        <v>100</v>
      </c>
      <c r="CA25" s="266" t="s">
        <v>124</v>
      </c>
      <c r="CB25" s="266" t="s">
        <v>102</v>
      </c>
    </row>
    <row r="26" spans="1:84" s="263" customFormat="1" ht="15" thickBot="1" thickTop="1">
      <c r="A26" s="256" t="s">
        <v>103</v>
      </c>
      <c r="B26" s="255" t="s">
        <v>104</v>
      </c>
      <c r="C26" s="265"/>
      <c r="D26" s="265"/>
      <c r="E26" s="265"/>
      <c r="F26" s="265"/>
      <c r="G26" s="265"/>
      <c r="H26" s="265"/>
      <c r="I26" s="265" t="s">
        <v>105</v>
      </c>
      <c r="J26" s="265" t="s">
        <v>105</v>
      </c>
      <c r="K26" s="265"/>
      <c r="L26" s="265"/>
      <c r="M26" s="265"/>
      <c r="N26" s="265"/>
      <c r="O26" s="265"/>
      <c r="P26" s="265" t="s">
        <v>105</v>
      </c>
      <c r="Q26" s="265" t="s">
        <v>105</v>
      </c>
      <c r="R26" s="265"/>
      <c r="S26" s="265"/>
      <c r="T26" s="265"/>
      <c r="U26" s="265"/>
      <c r="V26" s="265" t="s">
        <v>105</v>
      </c>
      <c r="W26" s="265" t="s">
        <v>105</v>
      </c>
      <c r="X26" s="265" t="s">
        <v>105</v>
      </c>
      <c r="Y26" s="265" t="s">
        <v>105</v>
      </c>
      <c r="Z26" s="265" t="s">
        <v>105</v>
      </c>
      <c r="AA26" s="265" t="s">
        <v>105</v>
      </c>
      <c r="AB26" s="265" t="s">
        <v>105</v>
      </c>
      <c r="AC26" s="265" t="s">
        <v>105</v>
      </c>
      <c r="AD26" s="265" t="s">
        <v>105</v>
      </c>
      <c r="AE26" s="265" t="s">
        <v>105</v>
      </c>
      <c r="AF26" s="265" t="s">
        <v>105</v>
      </c>
      <c r="AG26" s="265" t="s">
        <v>105</v>
      </c>
      <c r="AH26" s="265" t="s">
        <v>105</v>
      </c>
      <c r="AI26" s="265" t="s">
        <v>105</v>
      </c>
      <c r="AJ26" s="265" t="s">
        <v>105</v>
      </c>
      <c r="AK26" s="265" t="s">
        <v>105</v>
      </c>
      <c r="AL26" s="265" t="s">
        <v>105</v>
      </c>
      <c r="AM26" s="265" t="s">
        <v>105</v>
      </c>
      <c r="AN26" s="265" t="s">
        <v>105</v>
      </c>
      <c r="AO26" s="265" t="s">
        <v>105</v>
      </c>
      <c r="AP26" s="265" t="s">
        <v>105</v>
      </c>
      <c r="AQ26" s="265" t="s">
        <v>105</v>
      </c>
      <c r="AR26" s="265" t="s">
        <v>105</v>
      </c>
      <c r="AS26" s="265" t="s">
        <v>105</v>
      </c>
      <c r="AT26" s="265" t="s">
        <v>105</v>
      </c>
      <c r="AU26" s="265" t="s">
        <v>105</v>
      </c>
      <c r="AV26" s="265" t="s">
        <v>105</v>
      </c>
      <c r="AW26" s="265" t="s">
        <v>105</v>
      </c>
      <c r="AX26" s="265" t="s">
        <v>105</v>
      </c>
      <c r="AY26" s="265" t="s">
        <v>105</v>
      </c>
      <c r="AZ26" s="265" t="s">
        <v>105</v>
      </c>
      <c r="BA26" s="265" t="s">
        <v>105</v>
      </c>
      <c r="BB26" s="265" t="s">
        <v>105</v>
      </c>
      <c r="BC26" s="265" t="s">
        <v>105</v>
      </c>
      <c r="BD26" s="265" t="s">
        <v>105</v>
      </c>
      <c r="BE26" s="265" t="s">
        <v>105</v>
      </c>
      <c r="BF26" s="265" t="s">
        <v>105</v>
      </c>
      <c r="BG26" s="265" t="s">
        <v>105</v>
      </c>
      <c r="BH26" s="265" t="s">
        <v>105</v>
      </c>
      <c r="BI26" s="265" t="s">
        <v>105</v>
      </c>
      <c r="BJ26" s="265" t="s">
        <v>105</v>
      </c>
      <c r="BK26" s="265" t="s">
        <v>105</v>
      </c>
      <c r="BL26" s="265" t="s">
        <v>105</v>
      </c>
      <c r="BM26" s="265" t="s">
        <v>105</v>
      </c>
      <c r="BN26" s="265" t="s">
        <v>105</v>
      </c>
      <c r="BO26" s="265" t="s">
        <v>105</v>
      </c>
      <c r="BP26" s="265" t="s">
        <v>105</v>
      </c>
      <c r="BQ26" s="265" t="s">
        <v>105</v>
      </c>
      <c r="BR26" s="265" t="s">
        <v>105</v>
      </c>
      <c r="BS26" s="265" t="s">
        <v>105</v>
      </c>
      <c r="BT26" s="265" t="s">
        <v>105</v>
      </c>
      <c r="BU26" s="265" t="s">
        <v>105</v>
      </c>
      <c r="BV26" s="265" t="s">
        <v>105</v>
      </c>
      <c r="BW26" s="265" t="s">
        <v>105</v>
      </c>
      <c r="BX26" s="265" t="s">
        <v>105</v>
      </c>
      <c r="BY26" s="265" t="s">
        <v>105</v>
      </c>
      <c r="BZ26" s="253" t="s">
        <v>105</v>
      </c>
      <c r="CA26" s="265" t="s">
        <v>106</v>
      </c>
      <c r="CB26" s="265" t="s">
        <v>106</v>
      </c>
      <c r="CC26" s="264"/>
      <c r="CD26" s="264"/>
      <c r="CE26" s="264"/>
      <c r="CF26" s="264"/>
    </row>
    <row r="27" spans="1:84" s="263" customFormat="1" ht="14.25" thickBot="1" thickTop="1">
      <c r="A27" s="256" t="s">
        <v>119</v>
      </c>
      <c r="B27" s="255" t="s">
        <v>125</v>
      </c>
      <c r="C27" s="253"/>
      <c r="D27" s="253"/>
      <c r="E27" s="253"/>
      <c r="F27" s="253"/>
      <c r="G27" s="253"/>
      <c r="H27" s="253"/>
      <c r="I27" s="253">
        <v>109000</v>
      </c>
      <c r="J27" s="253"/>
      <c r="K27" s="253">
        <f>REV!D33</f>
        <v>338566</v>
      </c>
      <c r="L27" s="253"/>
      <c r="M27" s="253"/>
      <c r="N27" s="253"/>
      <c r="O27" s="253"/>
      <c r="P27" s="253">
        <f>I27+109000</f>
        <v>218000</v>
      </c>
      <c r="Q27" s="253"/>
      <c r="R27" s="253"/>
      <c r="S27" s="253"/>
      <c r="T27" s="253"/>
      <c r="U27" s="253"/>
      <c r="V27" s="253">
        <f>(1246500-25000)/12*3</f>
        <v>305375</v>
      </c>
      <c r="W27" s="253">
        <f>REV!D33-8060</f>
        <v>330506</v>
      </c>
      <c r="X27" s="253"/>
      <c r="Y27" s="253"/>
      <c r="Z27" s="253"/>
      <c r="AA27" s="253"/>
      <c r="AB27" s="253">
        <f>(1246500-25000)/12*4</f>
        <v>407166.6666666667</v>
      </c>
      <c r="AC27" s="253">
        <f>REV!D33-10547</f>
        <v>328019</v>
      </c>
      <c r="AD27" s="253"/>
      <c r="AE27" s="253"/>
      <c r="AF27" s="253"/>
      <c r="AG27" s="253"/>
      <c r="AH27" s="253">
        <f>(1246500-25000)/12*5</f>
        <v>508958.3333333334</v>
      </c>
      <c r="AI27" s="253">
        <f>REV!D33-13048</f>
        <v>325518</v>
      </c>
      <c r="AJ27" s="253"/>
      <c r="AK27" s="253"/>
      <c r="AL27" s="253"/>
      <c r="AM27" s="253"/>
      <c r="AN27" s="253">
        <f>(1246500-25000)/12*6</f>
        <v>610750</v>
      </c>
      <c r="AO27" s="253">
        <f>REV!D33-15564</f>
        <v>323002</v>
      </c>
      <c r="AP27" s="253"/>
      <c r="AQ27" s="253"/>
      <c r="AR27" s="253"/>
      <c r="AS27" s="253"/>
      <c r="AT27" s="253">
        <f>AN27+112185</f>
        <v>722935</v>
      </c>
      <c r="AU27" s="253"/>
      <c r="AV27" s="253"/>
      <c r="AW27" s="253"/>
      <c r="AX27" s="253"/>
      <c r="AY27" s="253"/>
      <c r="AZ27" s="253">
        <f>AT27+109500</f>
        <v>832435</v>
      </c>
      <c r="BA27" s="253"/>
      <c r="BB27" s="253"/>
      <c r="BC27" s="253"/>
      <c r="BD27" s="253"/>
      <c r="BE27" s="253"/>
      <c r="BF27" s="253">
        <f>AZ27+109500</f>
        <v>941935</v>
      </c>
      <c r="BG27" s="253"/>
      <c r="BH27" s="253"/>
      <c r="BI27" s="253"/>
      <c r="BJ27" s="253"/>
      <c r="BK27" s="253"/>
      <c r="BL27" s="253">
        <f>BF27+109000</f>
        <v>1050935</v>
      </c>
      <c r="BM27" s="253"/>
      <c r="BN27" s="253"/>
      <c r="BO27" s="253"/>
      <c r="BP27" s="253"/>
      <c r="BQ27" s="253"/>
      <c r="BR27" s="253">
        <f>BL27+109000</f>
        <v>1159935</v>
      </c>
      <c r="BS27" s="253"/>
      <c r="BT27" s="253"/>
      <c r="BU27" s="253"/>
      <c r="BV27" s="253"/>
      <c r="BW27" s="253"/>
      <c r="BX27" s="253">
        <f>BR27+109000</f>
        <v>1268935</v>
      </c>
      <c r="BY27" s="253"/>
      <c r="BZ27" s="253"/>
      <c r="CA27" s="253"/>
      <c r="CB27" s="253">
        <v>1221500</v>
      </c>
      <c r="CC27" s="247"/>
      <c r="CD27" s="247"/>
      <c r="CE27" s="247"/>
      <c r="CF27" s="247"/>
    </row>
    <row r="28" spans="1:84" s="263" customFormat="1" ht="14.25" thickBot="1" thickTop="1">
      <c r="A28" s="256" t="s">
        <v>108</v>
      </c>
      <c r="B28" s="255" t="s">
        <v>126</v>
      </c>
      <c r="C28" s="254"/>
      <c r="D28" s="254"/>
      <c r="E28" s="254"/>
      <c r="F28" s="254"/>
      <c r="G28" s="254"/>
      <c r="H28" s="254"/>
      <c r="I28" s="254">
        <v>1100000</v>
      </c>
      <c r="J28" s="254"/>
      <c r="K28" s="253">
        <f>REV!D31+REV!D32</f>
        <v>3492208</v>
      </c>
      <c r="L28" s="254"/>
      <c r="M28" s="254"/>
      <c r="N28" s="254"/>
      <c r="O28" s="254"/>
      <c r="P28" s="254">
        <f>I28+1000000</f>
        <v>2100000</v>
      </c>
      <c r="Q28" s="254"/>
      <c r="R28" s="254"/>
      <c r="S28" s="254"/>
      <c r="T28" s="254"/>
      <c r="U28" s="254"/>
      <c r="V28" s="254">
        <f>(8000000)/12*3</f>
        <v>2000000</v>
      </c>
      <c r="W28" s="254">
        <f>REV!D32</f>
        <v>3314711</v>
      </c>
      <c r="X28" s="254"/>
      <c r="Y28" s="254"/>
      <c r="Z28" s="254"/>
      <c r="AA28" s="254"/>
      <c r="AB28" s="254">
        <f>8000000/12*4</f>
        <v>2666666.6666666665</v>
      </c>
      <c r="AC28" s="253">
        <f>REV!D32</f>
        <v>3314711</v>
      </c>
      <c r="AD28" s="254"/>
      <c r="AE28" s="254"/>
      <c r="AF28" s="254"/>
      <c r="AG28" s="254"/>
      <c r="AH28" s="254">
        <f>8000000/12*5</f>
        <v>3333333.333333333</v>
      </c>
      <c r="AI28" s="253">
        <f>REV!D32</f>
        <v>3314711</v>
      </c>
      <c r="AJ28" s="254"/>
      <c r="AK28" s="254"/>
      <c r="AL28" s="258"/>
      <c r="AM28" s="258"/>
      <c r="AN28" s="343">
        <f>(8000000/12)*6</f>
        <v>4000000</v>
      </c>
      <c r="AO28" s="253">
        <f>REV!D32</f>
        <v>3314711</v>
      </c>
      <c r="AP28" s="254"/>
      <c r="AQ28" s="254"/>
      <c r="AR28" s="254"/>
      <c r="AS28" s="254"/>
      <c r="AT28" s="254">
        <f>AN28+800000</f>
        <v>4800000</v>
      </c>
      <c r="AU28" s="254"/>
      <c r="AV28" s="254"/>
      <c r="AW28" s="254"/>
      <c r="AX28" s="254"/>
      <c r="AY28" s="259"/>
      <c r="AZ28" s="254">
        <f>AT28+900000</f>
        <v>5700000</v>
      </c>
      <c r="BA28" s="254"/>
      <c r="BB28" s="254"/>
      <c r="BC28" s="254"/>
      <c r="BD28" s="254"/>
      <c r="BE28" s="254"/>
      <c r="BF28" s="254">
        <f>AZ28+800000</f>
        <v>6500000</v>
      </c>
      <c r="BG28" s="254"/>
      <c r="BH28" s="254"/>
      <c r="BI28" s="254"/>
      <c r="BJ28" s="254"/>
      <c r="BK28" s="254"/>
      <c r="BL28" s="254">
        <f>BF28+700000</f>
        <v>7200000</v>
      </c>
      <c r="BM28" s="254"/>
      <c r="BN28" s="254"/>
      <c r="BO28" s="254"/>
      <c r="BP28" s="254"/>
      <c r="BQ28" s="254"/>
      <c r="BR28" s="254">
        <f>BL28+700000</f>
        <v>7900000</v>
      </c>
      <c r="BS28" s="254"/>
      <c r="BT28" s="254"/>
      <c r="BU28" s="254"/>
      <c r="BV28" s="254"/>
      <c r="BW28" s="254"/>
      <c r="BX28" s="254">
        <f>BR28+600000</f>
        <v>8500000</v>
      </c>
      <c r="BY28" s="254"/>
      <c r="BZ28" s="254"/>
      <c r="CA28" s="254"/>
      <c r="CB28" s="253">
        <v>8000000</v>
      </c>
      <c r="CC28" s="247"/>
      <c r="CD28" s="247"/>
      <c r="CE28" s="247"/>
      <c r="CF28" s="247"/>
    </row>
    <row r="29" spans="1:84" ht="15" hidden="1" thickBot="1" thickTop="1">
      <c r="A29" s="256" t="s">
        <v>119</v>
      </c>
      <c r="B29" s="255" t="s">
        <v>127</v>
      </c>
      <c r="C29" s="254"/>
      <c r="D29" s="262"/>
      <c r="E29" s="262"/>
      <c r="F29" s="254"/>
      <c r="G29" s="254"/>
      <c r="H29" s="254"/>
      <c r="I29" s="254">
        <v>0</v>
      </c>
      <c r="J29" s="254"/>
      <c r="K29" s="254"/>
      <c r="L29" s="254"/>
      <c r="M29" s="254"/>
      <c r="N29" s="254"/>
      <c r="O29" s="254"/>
      <c r="P29" s="254">
        <v>0</v>
      </c>
      <c r="Q29" s="254"/>
      <c r="R29" s="254"/>
      <c r="S29" s="254"/>
      <c r="T29" s="254"/>
      <c r="U29" s="254"/>
      <c r="V29" s="254">
        <v>0</v>
      </c>
      <c r="W29" s="254"/>
      <c r="X29" s="254"/>
      <c r="Y29" s="254"/>
      <c r="Z29" s="254"/>
      <c r="AA29" s="254"/>
      <c r="AB29" s="254">
        <v>0</v>
      </c>
      <c r="AC29" s="254"/>
      <c r="AD29" s="254"/>
      <c r="AE29" s="254"/>
      <c r="AF29" s="254"/>
      <c r="AG29" s="254"/>
      <c r="AH29" s="254">
        <v>0</v>
      </c>
      <c r="AI29" s="254"/>
      <c r="AJ29" s="254"/>
      <c r="AK29" s="254"/>
      <c r="AL29" s="254"/>
      <c r="AM29" s="254"/>
      <c r="AN29" s="254">
        <v>0</v>
      </c>
      <c r="AO29" s="254"/>
      <c r="AP29" s="254"/>
      <c r="AQ29" s="254"/>
      <c r="AR29" s="254"/>
      <c r="AS29" s="254"/>
      <c r="AT29" s="254">
        <v>0</v>
      </c>
      <c r="AU29" s="254"/>
      <c r="AV29" s="254"/>
      <c r="AW29" s="254"/>
      <c r="AX29" s="254"/>
      <c r="AY29" s="254"/>
      <c r="AZ29" s="254">
        <v>0</v>
      </c>
      <c r="BA29" s="254"/>
      <c r="BB29" s="254"/>
      <c r="BC29" s="254"/>
      <c r="BD29" s="254"/>
      <c r="BE29" s="254"/>
      <c r="BF29" s="254">
        <v>0</v>
      </c>
      <c r="BG29" s="254"/>
      <c r="BH29" s="254"/>
      <c r="BI29" s="254"/>
      <c r="BJ29" s="254"/>
      <c r="BK29" s="254"/>
      <c r="BL29" s="254">
        <v>0</v>
      </c>
      <c r="BM29" s="254"/>
      <c r="BN29" s="254"/>
      <c r="BO29" s="254"/>
      <c r="BP29" s="254"/>
      <c r="BQ29" s="254"/>
      <c r="BR29" s="254">
        <v>0</v>
      </c>
      <c r="BS29" s="254"/>
      <c r="BT29" s="254"/>
      <c r="BU29" s="254"/>
      <c r="BV29" s="254"/>
      <c r="BW29" s="254"/>
      <c r="BX29" s="254">
        <v>0</v>
      </c>
      <c r="BY29" s="254"/>
      <c r="BZ29" s="254"/>
      <c r="CA29" s="254"/>
      <c r="CB29" s="261">
        <f>BX29</f>
        <v>0</v>
      </c>
      <c r="CC29" s="247"/>
      <c r="CD29" s="247"/>
      <c r="CE29" s="247"/>
      <c r="CF29" s="247"/>
    </row>
    <row r="30" spans="1:80" ht="14.25" thickBot="1" thickTop="1">
      <c r="A30" s="256" t="s">
        <v>108</v>
      </c>
      <c r="B30" s="255" t="s">
        <v>269</v>
      </c>
      <c r="C30" s="254"/>
      <c r="D30" s="254"/>
      <c r="E30" s="254"/>
      <c r="F30" s="254"/>
      <c r="G30" s="254"/>
      <c r="H30" s="254"/>
      <c r="I30" s="254">
        <v>0</v>
      </c>
      <c r="J30" s="254"/>
      <c r="K30" s="254">
        <v>0</v>
      </c>
      <c r="L30" s="254"/>
      <c r="M30" s="254"/>
      <c r="N30" s="254"/>
      <c r="O30" s="254"/>
      <c r="P30" s="254">
        <v>0</v>
      </c>
      <c r="Q30" s="254"/>
      <c r="R30" s="254"/>
      <c r="S30" s="254"/>
      <c r="T30" s="254"/>
      <c r="U30" s="254"/>
      <c r="V30" s="328">
        <v>100000</v>
      </c>
      <c r="W30" s="254">
        <f>REV!D31</f>
        <v>177497</v>
      </c>
      <c r="X30" s="254"/>
      <c r="Y30" s="254"/>
      <c r="Z30" s="254"/>
      <c r="AA30" s="254"/>
      <c r="AB30" s="254">
        <f>400000/12*4</f>
        <v>133333.33333333334</v>
      </c>
      <c r="AC30" s="253">
        <f>REV!D31</f>
        <v>177497</v>
      </c>
      <c r="AD30" s="254"/>
      <c r="AE30" s="254"/>
      <c r="AF30" s="254"/>
      <c r="AG30" s="254"/>
      <c r="AH30" s="254">
        <f>400000/12*5</f>
        <v>166666.6666666667</v>
      </c>
      <c r="AI30" s="253">
        <f>REV!D31</f>
        <v>177497</v>
      </c>
      <c r="AJ30" s="254"/>
      <c r="AK30" s="254"/>
      <c r="AL30" s="254"/>
      <c r="AM30" s="254"/>
      <c r="AN30" s="254">
        <f>400000/12*6</f>
        <v>200000</v>
      </c>
      <c r="AO30" s="253">
        <f>REV!D31</f>
        <v>177497</v>
      </c>
      <c r="AP30" s="254"/>
      <c r="AQ30" s="254"/>
      <c r="AR30" s="254"/>
      <c r="AS30" s="254"/>
      <c r="AT30" s="254">
        <v>0</v>
      </c>
      <c r="AU30" s="254"/>
      <c r="AV30" s="254"/>
      <c r="AW30" s="254"/>
      <c r="AX30" s="254"/>
      <c r="AY30" s="254"/>
      <c r="AZ30" s="254">
        <v>0</v>
      </c>
      <c r="BA30" s="254"/>
      <c r="BB30" s="254"/>
      <c r="BC30" s="254"/>
      <c r="BD30" s="254"/>
      <c r="BE30" s="254"/>
      <c r="BF30" s="254">
        <v>0</v>
      </c>
      <c r="BG30" s="254"/>
      <c r="BH30" s="254"/>
      <c r="BI30" s="254"/>
      <c r="BJ30" s="254"/>
      <c r="BK30" s="254"/>
      <c r="BL30" s="254">
        <v>0</v>
      </c>
      <c r="BM30" s="254"/>
      <c r="BN30" s="254"/>
      <c r="BO30" s="254"/>
      <c r="BP30" s="254"/>
      <c r="BQ30" s="254"/>
      <c r="BR30" s="254">
        <v>0</v>
      </c>
      <c r="BS30" s="254"/>
      <c r="BT30" s="254"/>
      <c r="BU30" s="254"/>
      <c r="BV30" s="254"/>
      <c r="BW30" s="254"/>
      <c r="BX30" s="254">
        <v>0</v>
      </c>
      <c r="BY30" s="254"/>
      <c r="BZ30" s="254"/>
      <c r="CA30" s="254"/>
      <c r="CB30" s="253">
        <v>400000</v>
      </c>
    </row>
    <row r="31" spans="1:80" ht="14.25" thickBot="1" thickTop="1">
      <c r="A31" s="256" t="s">
        <v>119</v>
      </c>
      <c r="B31" s="255" t="s">
        <v>127</v>
      </c>
      <c r="C31" s="254"/>
      <c r="D31" s="254"/>
      <c r="E31" s="254"/>
      <c r="F31" s="254"/>
      <c r="G31" s="254"/>
      <c r="H31" s="254"/>
      <c r="I31" s="254">
        <f>50500/12*1</f>
        <v>4208.333333333333</v>
      </c>
      <c r="J31" s="254"/>
      <c r="K31" s="253">
        <f>REV!D35</f>
        <v>251588</v>
      </c>
      <c r="L31" s="254"/>
      <c r="M31" s="254"/>
      <c r="N31" s="254"/>
      <c r="O31" s="254"/>
      <c r="P31" s="254">
        <f>50500/12*2</f>
        <v>8416.666666666666</v>
      </c>
      <c r="Q31" s="254"/>
      <c r="R31" s="254"/>
      <c r="S31" s="254"/>
      <c r="T31" s="254"/>
      <c r="U31" s="254"/>
      <c r="V31" s="254">
        <f>25000/12*3</f>
        <v>6250</v>
      </c>
      <c r="W31" s="254">
        <f>REV!D33-148818</f>
        <v>189748</v>
      </c>
      <c r="X31" s="254"/>
      <c r="Y31" s="254"/>
      <c r="Z31" s="254"/>
      <c r="AA31" s="254"/>
      <c r="AB31" s="254">
        <f>25000/12*4</f>
        <v>8333.333333333334</v>
      </c>
      <c r="AC31" s="253">
        <f>199129-188582</f>
        <v>10547</v>
      </c>
      <c r="AD31" s="254"/>
      <c r="AE31" s="254"/>
      <c r="AF31" s="254"/>
      <c r="AG31" s="254"/>
      <c r="AH31" s="254">
        <f>25000/12*5</f>
        <v>10416.666666666668</v>
      </c>
      <c r="AI31" s="253">
        <f>275048-262000</f>
        <v>13048</v>
      </c>
      <c r="AJ31" s="254"/>
      <c r="AK31" s="254"/>
      <c r="AL31" s="254"/>
      <c r="AM31" s="254"/>
      <c r="AN31" s="254">
        <f>25000/12*6</f>
        <v>12500</v>
      </c>
      <c r="AO31" s="253">
        <f>338566-323002</f>
        <v>15564</v>
      </c>
      <c r="AP31" s="254"/>
      <c r="AQ31" s="254"/>
      <c r="AR31" s="254"/>
      <c r="AS31" s="254"/>
      <c r="AT31" s="254">
        <f>50500/12*7</f>
        <v>29458.333333333332</v>
      </c>
      <c r="AU31" s="254"/>
      <c r="AV31" s="254"/>
      <c r="AW31" s="254"/>
      <c r="AX31" s="254"/>
      <c r="AY31" s="254"/>
      <c r="AZ31" s="254">
        <f>50500/12*8</f>
        <v>33666.666666666664</v>
      </c>
      <c r="BA31" s="254"/>
      <c r="BB31" s="254"/>
      <c r="BC31" s="254"/>
      <c r="BD31" s="254"/>
      <c r="BE31" s="254"/>
      <c r="BF31" s="254">
        <f>50500/12*9</f>
        <v>37875</v>
      </c>
      <c r="BG31" s="254"/>
      <c r="BH31" s="254"/>
      <c r="BI31" s="254"/>
      <c r="BJ31" s="254"/>
      <c r="BK31" s="254"/>
      <c r="BL31" s="254">
        <f>50500/12*10</f>
        <v>42083.33333333333</v>
      </c>
      <c r="BM31" s="254"/>
      <c r="BN31" s="254"/>
      <c r="BO31" s="254"/>
      <c r="BP31" s="254"/>
      <c r="BQ31" s="254"/>
      <c r="BR31" s="254">
        <f>50500/12*11</f>
        <v>46291.666666666664</v>
      </c>
      <c r="BS31" s="254"/>
      <c r="BT31" s="254"/>
      <c r="BU31" s="254"/>
      <c r="BV31" s="254"/>
      <c r="BW31" s="254"/>
      <c r="BX31" s="254">
        <f>50500/12*12</f>
        <v>50500</v>
      </c>
      <c r="BY31" s="254"/>
      <c r="BZ31" s="254"/>
      <c r="CA31" s="254"/>
      <c r="CB31" s="253">
        <v>25000</v>
      </c>
    </row>
    <row r="32" spans="1:80" ht="14.25" thickBot="1" thickTop="1">
      <c r="A32" s="256" t="s">
        <v>108</v>
      </c>
      <c r="B32" s="255" t="s">
        <v>270</v>
      </c>
      <c r="C32" s="254"/>
      <c r="D32" s="254"/>
      <c r="E32" s="254"/>
      <c r="F32" s="254"/>
      <c r="G32" s="254"/>
      <c r="H32" s="254"/>
      <c r="I32" s="254">
        <f>25000/12*1</f>
        <v>2083.3333333333335</v>
      </c>
      <c r="J32" s="254"/>
      <c r="K32" s="253">
        <f>REV!D34</f>
        <v>0</v>
      </c>
      <c r="L32" s="254"/>
      <c r="M32" s="254"/>
      <c r="N32" s="254"/>
      <c r="O32" s="254"/>
      <c r="P32" s="254">
        <f>25000/12*2</f>
        <v>4166.666666666667</v>
      </c>
      <c r="Q32" s="254"/>
      <c r="R32" s="254"/>
      <c r="S32" s="254"/>
      <c r="T32" s="254"/>
      <c r="U32" s="254"/>
      <c r="V32" s="254">
        <f>20000+42000/12*3</f>
        <v>30500</v>
      </c>
      <c r="W32" s="254">
        <f>REV!D35</f>
        <v>251588</v>
      </c>
      <c r="X32" s="254"/>
      <c r="Y32" s="254"/>
      <c r="Z32" s="254"/>
      <c r="AA32" s="254"/>
      <c r="AB32" s="254">
        <f>20000+(42000/12)*4</f>
        <v>34000</v>
      </c>
      <c r="AC32" s="253">
        <f>REV!D35</f>
        <v>251588</v>
      </c>
      <c r="AD32" s="254"/>
      <c r="AE32" s="254"/>
      <c r="AF32" s="254"/>
      <c r="AG32" s="254"/>
      <c r="AH32" s="254">
        <f>20000+(42000/12)*5</f>
        <v>37500</v>
      </c>
      <c r="AI32" s="253">
        <f>REV!D35</f>
        <v>251588</v>
      </c>
      <c r="AJ32" s="254"/>
      <c r="AK32" s="254"/>
      <c r="AL32" s="254"/>
      <c r="AM32" s="254"/>
      <c r="AN32" s="254">
        <f>20000+(42000/12)*6</f>
        <v>41000</v>
      </c>
      <c r="AO32" s="253">
        <f>REV!D35</f>
        <v>251588</v>
      </c>
      <c r="AP32" s="254"/>
      <c r="AQ32" s="254"/>
      <c r="AR32" s="254"/>
      <c r="AS32" s="254"/>
      <c r="AT32" s="254">
        <f>25000/12*7</f>
        <v>14583.333333333334</v>
      </c>
      <c r="AU32" s="254"/>
      <c r="AV32" s="254"/>
      <c r="AW32" s="254"/>
      <c r="AX32" s="254"/>
      <c r="AY32" s="254"/>
      <c r="AZ32" s="254">
        <f>25000/12*8</f>
        <v>16666.666666666668</v>
      </c>
      <c r="BA32" s="254"/>
      <c r="BB32" s="254"/>
      <c r="BC32" s="254"/>
      <c r="BD32" s="254"/>
      <c r="BE32" s="254"/>
      <c r="BF32" s="254">
        <f>25000/12*9</f>
        <v>18750</v>
      </c>
      <c r="BG32" s="254"/>
      <c r="BH32" s="254"/>
      <c r="BI32" s="254"/>
      <c r="BJ32" s="254"/>
      <c r="BK32" s="254"/>
      <c r="BL32" s="254">
        <f>25000/12*10</f>
        <v>20833.333333333336</v>
      </c>
      <c r="BM32" s="254"/>
      <c r="BN32" s="254"/>
      <c r="BO32" s="254"/>
      <c r="BP32" s="254"/>
      <c r="BQ32" s="254"/>
      <c r="BR32" s="254">
        <f>25000/12*11</f>
        <v>22916.666666666668</v>
      </c>
      <c r="BS32" s="254"/>
      <c r="BT32" s="254"/>
      <c r="BU32" s="254"/>
      <c r="BV32" s="254"/>
      <c r="BW32" s="254"/>
      <c r="BX32" s="254">
        <f>25000/12*12</f>
        <v>25000</v>
      </c>
      <c r="BY32" s="254"/>
      <c r="BZ32" s="254"/>
      <c r="CA32" s="254"/>
      <c r="CB32" s="253">
        <v>62000</v>
      </c>
    </row>
    <row r="33" spans="1:80" ht="14.25" thickBot="1" thickTop="1">
      <c r="A33" s="256" t="s">
        <v>116</v>
      </c>
      <c r="B33" s="255" t="s">
        <v>24</v>
      </c>
      <c r="C33" s="254"/>
      <c r="D33" s="254"/>
      <c r="E33" s="254"/>
      <c r="F33" s="254"/>
      <c r="G33" s="254"/>
      <c r="H33" s="254"/>
      <c r="I33" s="254"/>
      <c r="J33" s="254"/>
      <c r="K33" s="253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328">
        <v>1667</v>
      </c>
      <c r="W33" s="254">
        <f>REV!D34</f>
        <v>0</v>
      </c>
      <c r="X33" s="254"/>
      <c r="Y33" s="254"/>
      <c r="Z33" s="254"/>
      <c r="AA33" s="254"/>
      <c r="AB33" s="254">
        <f>10000/6*2</f>
        <v>3333.3333333333335</v>
      </c>
      <c r="AC33" s="253">
        <f>REV!D34</f>
        <v>0</v>
      </c>
      <c r="AD33" s="254"/>
      <c r="AE33" s="254"/>
      <c r="AF33" s="254"/>
      <c r="AG33" s="254"/>
      <c r="AH33" s="254">
        <f>10000/6*3</f>
        <v>5000</v>
      </c>
      <c r="AI33" s="253">
        <f>REV!D34</f>
        <v>0</v>
      </c>
      <c r="AJ33" s="254"/>
      <c r="AK33" s="254"/>
      <c r="AL33" s="254"/>
      <c r="AM33" s="254"/>
      <c r="AN33" s="254">
        <f>10000/6*4</f>
        <v>6666.666666666667</v>
      </c>
      <c r="AO33" s="253">
        <f>REV!D34</f>
        <v>0</v>
      </c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3">
        <v>10000</v>
      </c>
    </row>
    <row r="34" spans="1:80" ht="14.25" thickBot="1" thickTop="1">
      <c r="A34" s="256" t="s">
        <v>108</v>
      </c>
      <c r="B34" s="255" t="s">
        <v>198</v>
      </c>
      <c r="C34" s="260"/>
      <c r="D34" s="260"/>
      <c r="E34" s="260"/>
      <c r="F34" s="253"/>
      <c r="G34" s="260"/>
      <c r="H34" s="260"/>
      <c r="I34" s="253">
        <v>32749305</v>
      </c>
      <c r="J34" s="253"/>
      <c r="K34" s="253">
        <f>REV!D11</f>
        <v>63911023</v>
      </c>
      <c r="L34" s="260"/>
      <c r="M34" s="260"/>
      <c r="N34" s="260"/>
      <c r="O34" s="260"/>
      <c r="P34" s="253">
        <f>0+I34</f>
        <v>32749305</v>
      </c>
      <c r="Q34" s="260"/>
      <c r="R34" s="260"/>
      <c r="S34" s="260"/>
      <c r="T34" s="260"/>
      <c r="U34" s="260"/>
      <c r="V34" s="329">
        <v>35506124</v>
      </c>
      <c r="W34" s="254">
        <f>REV!D11</f>
        <v>63911023</v>
      </c>
      <c r="X34" s="260"/>
      <c r="Y34" s="260"/>
      <c r="Z34" s="260"/>
      <c r="AA34" s="260"/>
      <c r="AB34" s="253">
        <f>V34</f>
        <v>35506124</v>
      </c>
      <c r="AC34" s="253">
        <f>REV!D11</f>
        <v>63911023</v>
      </c>
      <c r="AD34" s="260"/>
      <c r="AE34" s="260"/>
      <c r="AF34" s="260"/>
      <c r="AG34" s="260"/>
      <c r="AH34" s="253">
        <f>28404899+AB34</f>
        <v>63911023</v>
      </c>
      <c r="AI34" s="253">
        <f>REV!D11</f>
        <v>63911023</v>
      </c>
      <c r="AJ34" s="260"/>
      <c r="AK34" s="260"/>
      <c r="AL34" s="260"/>
      <c r="AM34" s="260"/>
      <c r="AN34" s="253">
        <f>+AH34</f>
        <v>63911023</v>
      </c>
      <c r="AO34" s="253">
        <f>REV!D11</f>
        <v>63911023</v>
      </c>
      <c r="AP34" s="260"/>
      <c r="AQ34" s="260"/>
      <c r="AR34" s="260"/>
      <c r="AS34" s="260"/>
      <c r="AT34" s="253">
        <f>AN34</f>
        <v>63911023</v>
      </c>
      <c r="AU34" s="260"/>
      <c r="AV34" s="260"/>
      <c r="AW34" s="260"/>
      <c r="AX34" s="260"/>
      <c r="AY34" s="260"/>
      <c r="AZ34" s="253">
        <f>0+AT34</f>
        <v>63911023</v>
      </c>
      <c r="BA34" s="260"/>
      <c r="BB34" s="260"/>
      <c r="BC34" s="260"/>
      <c r="BD34" s="260"/>
      <c r="BE34" s="260"/>
      <c r="BF34" s="253">
        <f>AZ34+19649583</f>
        <v>83560606</v>
      </c>
      <c r="BG34" s="253"/>
      <c r="BH34" s="260"/>
      <c r="BI34" s="260"/>
      <c r="BJ34" s="260"/>
      <c r="BK34" s="260"/>
      <c r="BL34" s="253">
        <f>BF34</f>
        <v>83560606</v>
      </c>
      <c r="BM34" s="260"/>
      <c r="BN34" s="260"/>
      <c r="BO34" s="260"/>
      <c r="BP34" s="260"/>
      <c r="BQ34" s="260"/>
      <c r="BR34" s="253">
        <f>BL34</f>
        <v>83560606</v>
      </c>
      <c r="BS34" s="260"/>
      <c r="BT34" s="260"/>
      <c r="BU34" s="260"/>
      <c r="BV34" s="260"/>
      <c r="BW34" s="260"/>
      <c r="BX34" s="253">
        <f>BR34</f>
        <v>83560606</v>
      </c>
      <c r="BY34" s="253"/>
      <c r="BZ34" s="260"/>
      <c r="CA34" s="253"/>
      <c r="CB34" s="253">
        <v>85215000</v>
      </c>
    </row>
    <row r="35" spans="1:80" ht="14.25" thickBot="1" thickTop="1">
      <c r="A35" s="256" t="s">
        <v>108</v>
      </c>
      <c r="B35" s="255" t="s">
        <v>128</v>
      </c>
      <c r="C35" s="254"/>
      <c r="D35" s="254"/>
      <c r="E35" s="254"/>
      <c r="F35" s="253"/>
      <c r="G35" s="254"/>
      <c r="H35" s="254"/>
      <c r="I35" s="253">
        <v>1000000</v>
      </c>
      <c r="J35" s="254"/>
      <c r="K35" s="253">
        <f>REV!D13</f>
        <v>346982</v>
      </c>
      <c r="L35" s="254"/>
      <c r="M35" s="254"/>
      <c r="N35" s="254"/>
      <c r="O35" s="254"/>
      <c r="P35" s="254">
        <f>0+I35</f>
        <v>1000000</v>
      </c>
      <c r="Q35" s="254"/>
      <c r="R35" s="254"/>
      <c r="S35" s="254"/>
      <c r="T35" s="254"/>
      <c r="U35" s="254"/>
      <c r="V35" s="253">
        <f>1000000/12*3</f>
        <v>250000</v>
      </c>
      <c r="W35" s="254">
        <f>REV!D13</f>
        <v>346982</v>
      </c>
      <c r="X35" s="254"/>
      <c r="Y35" s="254"/>
      <c r="Z35" s="254"/>
      <c r="AA35" s="254"/>
      <c r="AB35" s="253">
        <f>1000000/12*4</f>
        <v>333333.3333333333</v>
      </c>
      <c r="AC35" s="253">
        <f>REV!D13</f>
        <v>346982</v>
      </c>
      <c r="AD35" s="254"/>
      <c r="AE35" s="254"/>
      <c r="AF35" s="254"/>
      <c r="AG35" s="254"/>
      <c r="AH35" s="253">
        <f>1000000/12*5</f>
        <v>416666.6666666666</v>
      </c>
      <c r="AI35" s="253">
        <f>REV!D13</f>
        <v>346982</v>
      </c>
      <c r="AJ35" s="254"/>
      <c r="AK35" s="254"/>
      <c r="AL35" s="254"/>
      <c r="AM35" s="254"/>
      <c r="AN35" s="253">
        <f>1000000/12*6</f>
        <v>500000</v>
      </c>
      <c r="AO35" s="253">
        <f>REV!D13</f>
        <v>346982</v>
      </c>
      <c r="AP35" s="254"/>
      <c r="AQ35" s="254"/>
      <c r="AR35" s="254"/>
      <c r="AS35" s="254"/>
      <c r="AT35" s="253">
        <f>AN35</f>
        <v>500000</v>
      </c>
      <c r="AU35" s="254"/>
      <c r="AV35" s="254"/>
      <c r="AW35" s="254"/>
      <c r="AX35" s="254"/>
      <c r="AY35" s="254"/>
      <c r="AZ35" s="253">
        <f>AT35</f>
        <v>500000</v>
      </c>
      <c r="BA35" s="254"/>
      <c r="BB35" s="254"/>
      <c r="BC35" s="254"/>
      <c r="BD35" s="254"/>
      <c r="BE35" s="254"/>
      <c r="BF35" s="253">
        <f>AZ35</f>
        <v>500000</v>
      </c>
      <c r="BG35" s="253"/>
      <c r="BH35" s="254"/>
      <c r="BI35" s="254"/>
      <c r="BJ35" s="254"/>
      <c r="BK35" s="254"/>
      <c r="BL35" s="253">
        <f>BF35</f>
        <v>500000</v>
      </c>
      <c r="BM35" s="254"/>
      <c r="BN35" s="254"/>
      <c r="BO35" s="254"/>
      <c r="BP35" s="254"/>
      <c r="BQ35" s="254"/>
      <c r="BR35" s="253">
        <f>BL35</f>
        <v>500000</v>
      </c>
      <c r="BS35" s="254"/>
      <c r="BT35" s="254"/>
      <c r="BU35" s="254"/>
      <c r="BV35" s="254"/>
      <c r="BW35" s="254"/>
      <c r="BX35" s="253">
        <f>BR35</f>
        <v>500000</v>
      </c>
      <c r="BY35" s="253"/>
      <c r="BZ35" s="254"/>
      <c r="CA35" s="254"/>
      <c r="CB35" s="253">
        <v>1000000</v>
      </c>
    </row>
    <row r="36" spans="1:80" ht="14.25" thickBot="1" thickTop="1">
      <c r="A36" s="256" t="s">
        <v>110</v>
      </c>
      <c r="B36" s="255" t="s">
        <v>129</v>
      </c>
      <c r="C36" s="254"/>
      <c r="D36" s="254"/>
      <c r="E36" s="254"/>
      <c r="F36" s="258"/>
      <c r="G36" s="258"/>
      <c r="H36" s="258"/>
      <c r="I36" s="254">
        <v>735000</v>
      </c>
      <c r="J36" s="254"/>
      <c r="K36" s="253">
        <f>REV!D12</f>
        <v>26981</v>
      </c>
      <c r="L36" s="254"/>
      <c r="M36" s="254"/>
      <c r="N36" s="258"/>
      <c r="O36" s="258"/>
      <c r="P36" s="254">
        <f>0+I36</f>
        <v>735000</v>
      </c>
      <c r="Q36" s="254"/>
      <c r="R36" s="254"/>
      <c r="S36" s="254"/>
      <c r="T36" s="258"/>
      <c r="U36" s="258"/>
      <c r="V36" s="253">
        <f>750000/12*3</f>
        <v>187500</v>
      </c>
      <c r="W36" s="254">
        <f>REV!D12</f>
        <v>26981</v>
      </c>
      <c r="X36" s="254"/>
      <c r="Y36" s="254"/>
      <c r="Z36" s="258"/>
      <c r="AA36" s="258"/>
      <c r="AB36" s="253">
        <f>750000/12*4</f>
        <v>250000</v>
      </c>
      <c r="AC36" s="253">
        <f>REV!D12</f>
        <v>26981</v>
      </c>
      <c r="AD36" s="254"/>
      <c r="AE36" s="254"/>
      <c r="AF36" s="258"/>
      <c r="AG36" s="258"/>
      <c r="AH36" s="253">
        <f>750000/12*5</f>
        <v>312500</v>
      </c>
      <c r="AI36" s="253">
        <f>REV!D12</f>
        <v>26981</v>
      </c>
      <c r="AJ36" s="254"/>
      <c r="AK36" s="254"/>
      <c r="AL36" s="258"/>
      <c r="AM36" s="258"/>
      <c r="AN36" s="253">
        <f>750000/12*6</f>
        <v>375000</v>
      </c>
      <c r="AO36" s="253">
        <f>REV!D12</f>
        <v>26981</v>
      </c>
      <c r="AP36" s="254"/>
      <c r="AQ36" s="254"/>
      <c r="AR36" s="258"/>
      <c r="AS36" s="258"/>
      <c r="AT36" s="253">
        <f>AN36</f>
        <v>375000</v>
      </c>
      <c r="AU36" s="254"/>
      <c r="AV36" s="254"/>
      <c r="AW36" s="254"/>
      <c r="AX36" s="258"/>
      <c r="AY36" s="258"/>
      <c r="AZ36" s="253">
        <f>AT36</f>
        <v>375000</v>
      </c>
      <c r="BA36" s="254"/>
      <c r="BB36" s="254"/>
      <c r="BC36" s="254"/>
      <c r="BD36" s="258"/>
      <c r="BE36" s="258"/>
      <c r="BF36" s="253">
        <f>AZ36</f>
        <v>375000</v>
      </c>
      <c r="BG36" s="253"/>
      <c r="BH36" s="254"/>
      <c r="BI36" s="254"/>
      <c r="BJ36" s="258"/>
      <c r="BK36" s="258"/>
      <c r="BL36" s="253">
        <f>BF36</f>
        <v>375000</v>
      </c>
      <c r="BM36" s="254"/>
      <c r="BN36" s="254"/>
      <c r="BO36" s="254"/>
      <c r="BP36" s="258"/>
      <c r="BQ36" s="258"/>
      <c r="BR36" s="253">
        <f>BL36</f>
        <v>375000</v>
      </c>
      <c r="BS36" s="254"/>
      <c r="BT36" s="254"/>
      <c r="BU36" s="254"/>
      <c r="BV36" s="258"/>
      <c r="BW36" s="258"/>
      <c r="BX36" s="253">
        <f>BR36</f>
        <v>375000</v>
      </c>
      <c r="BY36" s="253"/>
      <c r="BZ36" s="254"/>
      <c r="CA36" s="254"/>
      <c r="CB36" s="253">
        <v>750000</v>
      </c>
    </row>
    <row r="37" spans="1:80" ht="14.25" thickBot="1" thickTop="1">
      <c r="A37" s="256" t="s">
        <v>117</v>
      </c>
      <c r="B37" s="255" t="s">
        <v>271</v>
      </c>
      <c r="C37" s="254"/>
      <c r="D37" s="254"/>
      <c r="E37" s="254"/>
      <c r="F37" s="254"/>
      <c r="G37" s="254"/>
      <c r="H37" s="254"/>
      <c r="I37" s="254">
        <v>1862750</v>
      </c>
      <c r="J37" s="254"/>
      <c r="K37" s="253">
        <f>REV!D14</f>
        <v>4697686</v>
      </c>
      <c r="L37" s="254"/>
      <c r="M37" s="254"/>
      <c r="N37" s="254"/>
      <c r="O37" s="254"/>
      <c r="P37" s="254">
        <f>0+I37</f>
        <v>1862750</v>
      </c>
      <c r="Q37" s="254"/>
      <c r="R37" s="254"/>
      <c r="S37" s="254"/>
      <c r="T37" s="254"/>
      <c r="U37" s="254"/>
      <c r="V37" s="329">
        <v>1970250</v>
      </c>
      <c r="W37" s="254">
        <f>REV!D14</f>
        <v>4697686</v>
      </c>
      <c r="X37" s="254"/>
      <c r="Y37" s="254"/>
      <c r="Z37" s="254"/>
      <c r="AA37" s="254"/>
      <c r="AB37" s="253">
        <f>V37+1970250</f>
        <v>3940500</v>
      </c>
      <c r="AC37" s="253">
        <f>REV!D14</f>
        <v>4697686</v>
      </c>
      <c r="AD37" s="254"/>
      <c r="AE37" s="254"/>
      <c r="AF37" s="254"/>
      <c r="AG37" s="254"/>
      <c r="AH37" s="253">
        <f>AB37</f>
        <v>3940500</v>
      </c>
      <c r="AI37" s="253">
        <f>REV!D14</f>
        <v>4697686</v>
      </c>
      <c r="AJ37" s="254"/>
      <c r="AK37" s="254"/>
      <c r="AL37" s="254"/>
      <c r="AM37" s="254"/>
      <c r="AN37" s="253">
        <f>AH37</f>
        <v>3940500</v>
      </c>
      <c r="AO37" s="253">
        <f>REV!D14</f>
        <v>4697686</v>
      </c>
      <c r="AP37" s="254"/>
      <c r="AQ37" s="254"/>
      <c r="AR37" s="254"/>
      <c r="AS37" s="254"/>
      <c r="AT37" s="253">
        <f>AN37+1862750</f>
        <v>5803250</v>
      </c>
      <c r="AU37" s="254"/>
      <c r="AV37" s="254"/>
      <c r="AW37" s="254"/>
      <c r="AX37" s="254"/>
      <c r="AY37" s="254"/>
      <c r="AZ37" s="253">
        <f>AT37</f>
        <v>5803250</v>
      </c>
      <c r="BA37" s="254"/>
      <c r="BB37" s="254"/>
      <c r="BC37" s="254"/>
      <c r="BD37" s="254"/>
      <c r="BE37" s="254"/>
      <c r="BF37" s="253">
        <f>AZ37</f>
        <v>5803250</v>
      </c>
      <c r="BG37" s="254"/>
      <c r="BH37" s="254"/>
      <c r="BI37" s="254"/>
      <c r="BJ37" s="254"/>
      <c r="BK37" s="254"/>
      <c r="BL37" s="253">
        <f>BF37+1862750</f>
        <v>7666000</v>
      </c>
      <c r="BM37" s="254"/>
      <c r="BN37" s="254"/>
      <c r="BO37" s="254"/>
      <c r="BP37" s="254"/>
      <c r="BQ37" s="254"/>
      <c r="BR37" s="253">
        <f>BL37</f>
        <v>7666000</v>
      </c>
      <c r="BS37" s="254"/>
      <c r="BT37" s="254"/>
      <c r="BU37" s="254"/>
      <c r="BV37" s="254"/>
      <c r="BW37" s="254"/>
      <c r="BX37" s="253">
        <f>BR37</f>
        <v>7666000</v>
      </c>
      <c r="BY37" s="254"/>
      <c r="BZ37" s="254"/>
      <c r="CA37" s="254"/>
      <c r="CB37" s="253">
        <v>7881000</v>
      </c>
    </row>
    <row r="38" spans="1:80" ht="14.25" hidden="1" thickBot="1" thickTop="1">
      <c r="A38" s="256"/>
      <c r="B38" s="255"/>
      <c r="C38" s="254"/>
      <c r="D38" s="254"/>
      <c r="E38" s="254"/>
      <c r="F38" s="254"/>
      <c r="G38" s="254"/>
      <c r="H38" s="254"/>
      <c r="I38" s="254">
        <v>0</v>
      </c>
      <c r="J38" s="254"/>
      <c r="K38" s="254">
        <v>0</v>
      </c>
      <c r="L38" s="254"/>
      <c r="M38" s="254"/>
      <c r="N38" s="254"/>
      <c r="O38" s="254"/>
      <c r="P38" s="254">
        <v>0</v>
      </c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>
        <v>0</v>
      </c>
      <c r="AC38" s="254"/>
      <c r="AD38" s="254"/>
      <c r="AE38" s="254"/>
      <c r="AF38" s="254"/>
      <c r="AG38" s="254"/>
      <c r="AH38" s="254">
        <v>0</v>
      </c>
      <c r="AI38" s="254"/>
      <c r="AJ38" s="254"/>
      <c r="AK38" s="254"/>
      <c r="AL38" s="254"/>
      <c r="AM38" s="254"/>
      <c r="AN38" s="254">
        <v>0</v>
      </c>
      <c r="AO38" s="254"/>
      <c r="AP38" s="254"/>
      <c r="AQ38" s="254"/>
      <c r="AR38" s="254"/>
      <c r="AS38" s="254"/>
      <c r="AT38" s="254">
        <v>0</v>
      </c>
      <c r="AU38" s="254"/>
      <c r="AV38" s="254"/>
      <c r="AW38" s="254"/>
      <c r="AX38" s="254"/>
      <c r="AY38" s="254"/>
      <c r="AZ38" s="254">
        <v>0</v>
      </c>
      <c r="BA38" s="254"/>
      <c r="BB38" s="254"/>
      <c r="BC38" s="254"/>
      <c r="BD38" s="254"/>
      <c r="BE38" s="254"/>
      <c r="BF38" s="254">
        <v>0</v>
      </c>
      <c r="BG38" s="254"/>
      <c r="BH38" s="254"/>
      <c r="BI38" s="254"/>
      <c r="BJ38" s="254"/>
      <c r="BK38" s="254"/>
      <c r="BL38" s="254">
        <v>0</v>
      </c>
      <c r="BM38" s="254"/>
      <c r="BN38" s="254"/>
      <c r="BO38" s="254"/>
      <c r="BP38" s="254"/>
      <c r="BQ38" s="254"/>
      <c r="BR38" s="254">
        <v>0</v>
      </c>
      <c r="BS38" s="254"/>
      <c r="BT38" s="254"/>
      <c r="BU38" s="254"/>
      <c r="BV38" s="254"/>
      <c r="BW38" s="254"/>
      <c r="BX38" s="254">
        <v>0</v>
      </c>
      <c r="BY38" s="254"/>
      <c r="BZ38" s="254"/>
      <c r="CA38" s="254"/>
      <c r="CB38" s="253">
        <f>BX38</f>
        <v>0</v>
      </c>
    </row>
    <row r="39" spans="1:80" ht="14.25" hidden="1" thickBot="1" thickTop="1">
      <c r="A39" s="256"/>
      <c r="B39" s="255"/>
      <c r="C39" s="254"/>
      <c r="D39" s="254"/>
      <c r="E39" s="254"/>
      <c r="F39" s="254"/>
      <c r="G39" s="254"/>
      <c r="H39" s="254"/>
      <c r="I39" s="254">
        <v>0</v>
      </c>
      <c r="J39" s="254"/>
      <c r="K39" s="254">
        <v>0</v>
      </c>
      <c r="L39" s="254"/>
      <c r="M39" s="254"/>
      <c r="N39" s="254"/>
      <c r="O39" s="254"/>
      <c r="P39" s="254">
        <v>0</v>
      </c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>
        <v>0</v>
      </c>
      <c r="AC39" s="254"/>
      <c r="AD39" s="254"/>
      <c r="AE39" s="254"/>
      <c r="AF39" s="254"/>
      <c r="AG39" s="254"/>
      <c r="AH39" s="254">
        <v>0</v>
      </c>
      <c r="AI39" s="254"/>
      <c r="AJ39" s="254"/>
      <c r="AK39" s="254"/>
      <c r="AL39" s="254"/>
      <c r="AM39" s="254"/>
      <c r="AN39" s="254">
        <v>0</v>
      </c>
      <c r="AO39" s="254"/>
      <c r="AP39" s="254"/>
      <c r="AQ39" s="254"/>
      <c r="AR39" s="254"/>
      <c r="AS39" s="254"/>
      <c r="AT39" s="254">
        <v>0</v>
      </c>
      <c r="AU39" s="254"/>
      <c r="AV39" s="254"/>
      <c r="AW39" s="254"/>
      <c r="AX39" s="254"/>
      <c r="AY39" s="254"/>
      <c r="AZ39" s="254">
        <v>0</v>
      </c>
      <c r="BA39" s="254"/>
      <c r="BB39" s="254"/>
      <c r="BC39" s="254"/>
      <c r="BD39" s="254"/>
      <c r="BE39" s="254"/>
      <c r="BF39" s="254">
        <v>0</v>
      </c>
      <c r="BG39" s="254"/>
      <c r="BH39" s="254"/>
      <c r="BI39" s="254"/>
      <c r="BJ39" s="254"/>
      <c r="BK39" s="254"/>
      <c r="BL39" s="254">
        <v>0</v>
      </c>
      <c r="BM39" s="254"/>
      <c r="BN39" s="254"/>
      <c r="BO39" s="254"/>
      <c r="BP39" s="254"/>
      <c r="BQ39" s="254"/>
      <c r="BR39" s="254">
        <v>0</v>
      </c>
      <c r="BS39" s="254"/>
      <c r="BT39" s="254"/>
      <c r="BU39" s="254"/>
      <c r="BV39" s="254"/>
      <c r="BW39" s="254"/>
      <c r="BX39" s="254">
        <v>0</v>
      </c>
      <c r="BY39" s="254"/>
      <c r="BZ39" s="254"/>
      <c r="CA39" s="254"/>
      <c r="CB39" s="253">
        <f>BX39</f>
        <v>0</v>
      </c>
    </row>
    <row r="40" spans="1:80" ht="14.25" hidden="1" thickBot="1" thickTop="1">
      <c r="A40" s="257"/>
      <c r="B40" s="255"/>
      <c r="C40" s="254"/>
      <c r="D40" s="254"/>
      <c r="E40" s="254"/>
      <c r="F40" s="254"/>
      <c r="G40" s="254"/>
      <c r="H40" s="254"/>
      <c r="I40" s="254">
        <v>0</v>
      </c>
      <c r="J40" s="254"/>
      <c r="K40" s="254">
        <v>0</v>
      </c>
      <c r="L40" s="254"/>
      <c r="M40" s="254"/>
      <c r="N40" s="254"/>
      <c r="O40" s="254"/>
      <c r="P40" s="254">
        <v>0</v>
      </c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>
        <v>0</v>
      </c>
      <c r="AC40" s="254"/>
      <c r="AD40" s="254"/>
      <c r="AE40" s="254"/>
      <c r="AF40" s="254"/>
      <c r="AG40" s="254"/>
      <c r="AH40" s="254">
        <v>0</v>
      </c>
      <c r="AI40" s="254"/>
      <c r="AJ40" s="254"/>
      <c r="AK40" s="254"/>
      <c r="AL40" s="254"/>
      <c r="AM40" s="254"/>
      <c r="AN40" s="254">
        <v>0</v>
      </c>
      <c r="AO40" s="254"/>
      <c r="AP40" s="254"/>
      <c r="AQ40" s="254"/>
      <c r="AR40" s="254"/>
      <c r="AS40" s="254"/>
      <c r="AT40" s="254">
        <v>0</v>
      </c>
      <c r="AU40" s="254"/>
      <c r="AV40" s="254"/>
      <c r="AW40" s="254"/>
      <c r="AX40" s="254"/>
      <c r="AY40" s="254"/>
      <c r="AZ40" s="254">
        <v>0</v>
      </c>
      <c r="BA40" s="254"/>
      <c r="BB40" s="254"/>
      <c r="BC40" s="254"/>
      <c r="BD40" s="254"/>
      <c r="BE40" s="254"/>
      <c r="BF40" s="254">
        <v>0</v>
      </c>
      <c r="BG40" s="254"/>
      <c r="BH40" s="254"/>
      <c r="BI40" s="254"/>
      <c r="BJ40" s="254"/>
      <c r="BK40" s="254"/>
      <c r="BL40" s="254">
        <v>0</v>
      </c>
      <c r="BM40" s="254"/>
      <c r="BN40" s="254"/>
      <c r="BO40" s="254"/>
      <c r="BP40" s="254"/>
      <c r="BQ40" s="254"/>
      <c r="BR40" s="254">
        <v>0</v>
      </c>
      <c r="BS40" s="254"/>
      <c r="BT40" s="254"/>
      <c r="BU40" s="254"/>
      <c r="BV40" s="254"/>
      <c r="BW40" s="254"/>
      <c r="BX40" s="254">
        <v>0</v>
      </c>
      <c r="BY40" s="254"/>
      <c r="BZ40" s="254"/>
      <c r="CA40" s="254"/>
      <c r="CB40" s="253">
        <f>BX40</f>
        <v>0</v>
      </c>
    </row>
    <row r="41" spans="1:80" ht="14.25" hidden="1" thickBot="1" thickTop="1">
      <c r="A41" s="257"/>
      <c r="B41" s="255"/>
      <c r="C41" s="254"/>
      <c r="D41" s="254"/>
      <c r="E41" s="254"/>
      <c r="F41" s="254"/>
      <c r="G41" s="254"/>
      <c r="H41" s="254"/>
      <c r="I41" s="254">
        <v>0</v>
      </c>
      <c r="J41" s="254"/>
      <c r="K41" s="254">
        <v>0</v>
      </c>
      <c r="L41" s="254"/>
      <c r="M41" s="254"/>
      <c r="N41" s="254"/>
      <c r="O41" s="254"/>
      <c r="P41" s="254">
        <v>0</v>
      </c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>
        <v>0</v>
      </c>
      <c r="AC41" s="254"/>
      <c r="AD41" s="254"/>
      <c r="AE41" s="254"/>
      <c r="AF41" s="254"/>
      <c r="AG41" s="254"/>
      <c r="AH41" s="254">
        <v>0</v>
      </c>
      <c r="AI41" s="254"/>
      <c r="AJ41" s="254"/>
      <c r="AK41" s="254"/>
      <c r="AL41" s="254"/>
      <c r="AM41" s="254"/>
      <c r="AN41" s="254">
        <v>0</v>
      </c>
      <c r="AO41" s="254"/>
      <c r="AP41" s="254"/>
      <c r="AQ41" s="254"/>
      <c r="AR41" s="254"/>
      <c r="AS41" s="254"/>
      <c r="AT41" s="254">
        <v>0</v>
      </c>
      <c r="AU41" s="254"/>
      <c r="AV41" s="254"/>
      <c r="AW41" s="254"/>
      <c r="AX41" s="254"/>
      <c r="AY41" s="254"/>
      <c r="AZ41" s="254">
        <v>0</v>
      </c>
      <c r="BA41" s="254"/>
      <c r="BB41" s="254"/>
      <c r="BC41" s="254"/>
      <c r="BD41" s="254"/>
      <c r="BE41" s="254"/>
      <c r="BF41" s="254">
        <v>0</v>
      </c>
      <c r="BG41" s="254"/>
      <c r="BH41" s="254"/>
      <c r="BI41" s="254"/>
      <c r="BJ41" s="254"/>
      <c r="BK41" s="254"/>
      <c r="BL41" s="254">
        <v>0</v>
      </c>
      <c r="BM41" s="254"/>
      <c r="BN41" s="254"/>
      <c r="BO41" s="254"/>
      <c r="BP41" s="254"/>
      <c r="BQ41" s="254"/>
      <c r="BR41" s="254">
        <v>0</v>
      </c>
      <c r="BS41" s="254"/>
      <c r="BT41" s="254"/>
      <c r="BU41" s="254"/>
      <c r="BV41" s="254"/>
      <c r="BW41" s="254"/>
      <c r="BX41" s="254">
        <v>0</v>
      </c>
      <c r="BY41" s="254"/>
      <c r="BZ41" s="254"/>
      <c r="CA41" s="254"/>
      <c r="CB41" s="253">
        <f>BX41</f>
        <v>0</v>
      </c>
    </row>
    <row r="42" spans="1:80" ht="14.25" thickBot="1" thickTop="1">
      <c r="A42" s="256" t="s">
        <v>110</v>
      </c>
      <c r="B42" s="255" t="s">
        <v>280</v>
      </c>
      <c r="C42" s="254"/>
      <c r="D42" s="254"/>
      <c r="E42" s="254"/>
      <c r="F42" s="254"/>
      <c r="G42" s="254"/>
      <c r="H42" s="254"/>
      <c r="I42" s="254">
        <v>0</v>
      </c>
      <c r="J42" s="254"/>
      <c r="K42" s="254">
        <v>0</v>
      </c>
      <c r="L42" s="254"/>
      <c r="M42" s="254"/>
      <c r="N42" s="254"/>
      <c r="O42" s="254"/>
      <c r="P42" s="254">
        <v>0</v>
      </c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>
        <v>0</v>
      </c>
      <c r="AC42" s="253"/>
      <c r="AD42" s="254"/>
      <c r="AE42" s="254"/>
      <c r="AF42" s="254"/>
      <c r="AG42" s="254"/>
      <c r="AH42" s="254">
        <v>0</v>
      </c>
      <c r="AI42" s="250"/>
      <c r="AJ42" s="254"/>
      <c r="AK42" s="254"/>
      <c r="AL42" s="254"/>
      <c r="AM42" s="254"/>
      <c r="AN42" s="254">
        <v>0</v>
      </c>
      <c r="AO42" s="253">
        <f>REV!D26</f>
        <v>698058</v>
      </c>
      <c r="AP42" s="254"/>
      <c r="AQ42" s="254"/>
      <c r="AR42" s="254"/>
      <c r="AS42" s="254"/>
      <c r="AT42" s="254">
        <v>0</v>
      </c>
      <c r="AU42" s="254"/>
      <c r="AV42" s="254"/>
      <c r="AW42" s="254"/>
      <c r="AX42" s="254"/>
      <c r="AY42" s="254"/>
      <c r="AZ42" s="254">
        <v>0</v>
      </c>
      <c r="BA42" s="254"/>
      <c r="BB42" s="254"/>
      <c r="BC42" s="254"/>
      <c r="BD42" s="254"/>
      <c r="BE42" s="254"/>
      <c r="BF42" s="254">
        <v>0</v>
      </c>
      <c r="BG42" s="254"/>
      <c r="BH42" s="254"/>
      <c r="BI42" s="254"/>
      <c r="BJ42" s="254"/>
      <c r="BK42" s="254"/>
      <c r="BL42" s="254">
        <v>0</v>
      </c>
      <c r="BM42" s="254"/>
      <c r="BN42" s="254"/>
      <c r="BO42" s="254"/>
      <c r="BP42" s="254"/>
      <c r="BQ42" s="254"/>
      <c r="BR42" s="254">
        <v>0</v>
      </c>
      <c r="BS42" s="254"/>
      <c r="BT42" s="254"/>
      <c r="BU42" s="254"/>
      <c r="BV42" s="254"/>
      <c r="BW42" s="254"/>
      <c r="BX42" s="254">
        <v>0</v>
      </c>
      <c r="BY42" s="254"/>
      <c r="BZ42" s="254"/>
      <c r="CA42" s="254"/>
      <c r="CB42" s="253"/>
    </row>
    <row r="43" spans="1:80" ht="14.25" thickBot="1" thickTop="1">
      <c r="A43" s="256" t="s">
        <v>113</v>
      </c>
      <c r="B43" s="255" t="s">
        <v>293</v>
      </c>
      <c r="C43" s="254"/>
      <c r="D43" s="254"/>
      <c r="E43" s="254"/>
      <c r="F43" s="254"/>
      <c r="G43" s="254"/>
      <c r="H43" s="254"/>
      <c r="I43" s="254">
        <v>0</v>
      </c>
      <c r="J43" s="254"/>
      <c r="K43" s="254"/>
      <c r="L43" s="254"/>
      <c r="M43" s="254"/>
      <c r="N43" s="254"/>
      <c r="O43" s="254"/>
      <c r="P43" s="254">
        <v>0</v>
      </c>
      <c r="Q43" s="254"/>
      <c r="R43" s="254"/>
      <c r="S43" s="254"/>
      <c r="T43" s="254"/>
      <c r="U43" s="254"/>
      <c r="V43" s="254">
        <v>0</v>
      </c>
      <c r="W43" s="254"/>
      <c r="X43" s="254"/>
      <c r="Y43" s="254"/>
      <c r="Z43" s="254"/>
      <c r="AA43" s="254"/>
      <c r="AB43" s="254">
        <v>0</v>
      </c>
      <c r="AC43" s="254"/>
      <c r="AD43" s="254"/>
      <c r="AE43" s="254"/>
      <c r="AF43" s="254"/>
      <c r="AG43" s="254"/>
      <c r="AH43" s="254">
        <v>0</v>
      </c>
      <c r="AI43" s="254"/>
      <c r="AJ43" s="254"/>
      <c r="AK43" s="254"/>
      <c r="AL43" s="254"/>
      <c r="AM43" s="254"/>
      <c r="AN43" s="254">
        <v>133000</v>
      </c>
      <c r="AO43" s="254">
        <f>REV!D25</f>
        <v>0</v>
      </c>
      <c r="AP43" s="254"/>
      <c r="AQ43" s="254"/>
      <c r="AR43" s="254"/>
      <c r="AS43" s="254"/>
      <c r="AT43" s="254">
        <v>0</v>
      </c>
      <c r="AU43" s="254"/>
      <c r="AV43" s="254"/>
      <c r="AW43" s="254"/>
      <c r="AX43" s="254"/>
      <c r="AY43" s="254"/>
      <c r="AZ43" s="254">
        <v>0</v>
      </c>
      <c r="BA43" s="254"/>
      <c r="BB43" s="254"/>
      <c r="BC43" s="254"/>
      <c r="BD43" s="254"/>
      <c r="BE43" s="254"/>
      <c r="BF43" s="254">
        <v>0</v>
      </c>
      <c r="BG43" s="254"/>
      <c r="BH43" s="254"/>
      <c r="BI43" s="254"/>
      <c r="BJ43" s="254"/>
      <c r="BK43" s="254"/>
      <c r="BL43" s="254">
        <v>0</v>
      </c>
      <c r="BM43" s="254"/>
      <c r="BN43" s="254"/>
      <c r="BO43" s="254"/>
      <c r="BP43" s="254"/>
      <c r="BQ43" s="254"/>
      <c r="BR43" s="254">
        <v>0</v>
      </c>
      <c r="BS43" s="254"/>
      <c r="BT43" s="254"/>
      <c r="BU43" s="254"/>
      <c r="BV43" s="254"/>
      <c r="BW43" s="254"/>
      <c r="BX43" s="254">
        <v>0</v>
      </c>
      <c r="BY43" s="254"/>
      <c r="BZ43" s="254"/>
      <c r="CA43" s="254"/>
      <c r="CB43" s="253">
        <f>BX43</f>
        <v>0</v>
      </c>
    </row>
    <row r="44" spans="1:80" s="247" customFormat="1" ht="25.5" thickBot="1" thickTop="1">
      <c r="A44" s="252"/>
      <c r="B44" s="251" t="s">
        <v>130</v>
      </c>
      <c r="C44" s="249"/>
      <c r="D44" s="249"/>
      <c r="E44" s="249"/>
      <c r="F44" s="249"/>
      <c r="G44" s="249"/>
      <c r="H44" s="249"/>
      <c r="I44" s="249">
        <f>SUM(I27:I43)</f>
        <v>37562346.666666664</v>
      </c>
      <c r="J44" s="249"/>
      <c r="K44" s="249">
        <f>SUM(K27:K42)</f>
        <v>73065034</v>
      </c>
      <c r="L44" s="249"/>
      <c r="M44" s="249"/>
      <c r="N44" s="249"/>
      <c r="O44" s="249"/>
      <c r="P44" s="249">
        <f>SUM(P27:P43)</f>
        <v>38677638.333333336</v>
      </c>
      <c r="Q44" s="249"/>
      <c r="R44" s="249"/>
      <c r="S44" s="249"/>
      <c r="T44" s="249"/>
      <c r="U44" s="249"/>
      <c r="V44" s="249">
        <f>SUM(V27:V43)</f>
        <v>40357666</v>
      </c>
      <c r="W44" s="249">
        <f>SUM(W27:W42)</f>
        <v>73246722</v>
      </c>
      <c r="X44" s="249"/>
      <c r="Y44" s="249"/>
      <c r="Z44" s="249"/>
      <c r="AA44" s="249"/>
      <c r="AB44" s="249">
        <f>SUM(AB27:AB43)</f>
        <v>43282790.66666667</v>
      </c>
      <c r="AC44" s="249">
        <f>SUM(AC27:AC42)</f>
        <v>73065034</v>
      </c>
      <c r="AD44" s="249"/>
      <c r="AE44" s="249"/>
      <c r="AF44" s="249"/>
      <c r="AG44" s="249"/>
      <c r="AH44" s="249">
        <f>SUM(AH27:AH43)</f>
        <v>72642564.66666667</v>
      </c>
      <c r="AI44" s="249">
        <f>SUM(AI27:AI42)</f>
        <v>73065034</v>
      </c>
      <c r="AJ44" s="249"/>
      <c r="AK44" s="249"/>
      <c r="AL44" s="249"/>
      <c r="AM44" s="249"/>
      <c r="AN44" s="249">
        <f>SUM(AN27:AN43)</f>
        <v>73730439.66666667</v>
      </c>
      <c r="AO44" s="249">
        <f>SUM(AO27:AO42)</f>
        <v>73763092</v>
      </c>
      <c r="AP44" s="249"/>
      <c r="AQ44" s="249"/>
      <c r="AR44" s="249"/>
      <c r="AS44" s="249"/>
      <c r="AT44" s="249">
        <f>SUM(AT27:AT43)</f>
        <v>76156249.66666667</v>
      </c>
      <c r="AU44" s="249"/>
      <c r="AV44" s="249"/>
      <c r="AW44" s="249"/>
      <c r="AX44" s="249"/>
      <c r="AY44" s="249"/>
      <c r="AZ44" s="249">
        <f>SUM(AZ27:AZ43)</f>
        <v>77172041.33333333</v>
      </c>
      <c r="BA44" s="249"/>
      <c r="BB44" s="249"/>
      <c r="BC44" s="249"/>
      <c r="BD44" s="249"/>
      <c r="BE44" s="249"/>
      <c r="BF44" s="249">
        <f>SUM(BF27:BF43)</f>
        <v>97737416</v>
      </c>
      <c r="BG44" s="249"/>
      <c r="BH44" s="249"/>
      <c r="BI44" s="249"/>
      <c r="BJ44" s="249"/>
      <c r="BK44" s="249"/>
      <c r="BL44" s="249">
        <f>SUM(BL27:BL43)</f>
        <v>100415457.66666667</v>
      </c>
      <c r="BM44" s="249"/>
      <c r="BN44" s="249"/>
      <c r="BO44" s="249"/>
      <c r="BP44" s="249"/>
      <c r="BQ44" s="249"/>
      <c r="BR44" s="249">
        <f>SUM(BR27:BR43)</f>
        <v>101230749.33333333</v>
      </c>
      <c r="BS44" s="249"/>
      <c r="BT44" s="249"/>
      <c r="BU44" s="249"/>
      <c r="BV44" s="249"/>
      <c r="BW44" s="249"/>
      <c r="BX44" s="249">
        <f>SUM(BX27:BX43)</f>
        <v>101946041</v>
      </c>
      <c r="BY44" s="249"/>
      <c r="BZ44" s="250"/>
      <c r="CA44" s="249"/>
      <c r="CB44" s="248">
        <f>SUM(CB27:CB43)+CB15</f>
        <v>105601500</v>
      </c>
    </row>
    <row r="45" spans="3:80" ht="13.5" thickTop="1"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6"/>
      <c r="CA45" s="245"/>
      <c r="CB45" s="245"/>
    </row>
    <row r="46" spans="2:80" ht="12.75">
      <c r="B46" s="240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6"/>
      <c r="CA46" s="245"/>
      <c r="CB46" s="245"/>
    </row>
    <row r="47" spans="2:80" ht="12.75">
      <c r="B47" s="240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6"/>
      <c r="CA47" s="245"/>
      <c r="CB47" s="245"/>
    </row>
    <row r="48" spans="2:80" ht="12.75">
      <c r="B48" s="240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6"/>
      <c r="CA48" s="245"/>
      <c r="CB48" s="245"/>
    </row>
    <row r="49" spans="2:80" ht="12.75">
      <c r="B49" s="240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5"/>
      <c r="BX49" s="245"/>
      <c r="BY49" s="245"/>
      <c r="BZ49" s="246"/>
      <c r="CA49" s="245"/>
      <c r="CB49" s="245"/>
    </row>
    <row r="50" ht="12.75">
      <c r="B50" s="240"/>
    </row>
  </sheetData>
  <sheetProtection/>
  <mergeCells count="64">
    <mergeCell ref="L5:Q5"/>
    <mergeCell ref="R5:W5"/>
    <mergeCell ref="X5:AC5"/>
    <mergeCell ref="AD5:AI5"/>
    <mergeCell ref="AV6:BA6"/>
    <mergeCell ref="BB6:BG6"/>
    <mergeCell ref="BH6:BM6"/>
    <mergeCell ref="BN6:BS6"/>
    <mergeCell ref="BT6:BY6"/>
    <mergeCell ref="AJ5:AO5"/>
    <mergeCell ref="AP5:AU5"/>
    <mergeCell ref="AV5:BA5"/>
    <mergeCell ref="BB5:BG5"/>
    <mergeCell ref="BH5:BM5"/>
    <mergeCell ref="AD22:AF22"/>
    <mergeCell ref="BN5:BS5"/>
    <mergeCell ref="BT5:BY5"/>
    <mergeCell ref="BZ5:CB5"/>
    <mergeCell ref="L6:Q6"/>
    <mergeCell ref="R6:W6"/>
    <mergeCell ref="X6:AC6"/>
    <mergeCell ref="AD6:AI6"/>
    <mergeCell ref="AJ6:AO6"/>
    <mergeCell ref="AP6:AU6"/>
    <mergeCell ref="BT22:BV22"/>
    <mergeCell ref="BZ22:CA22"/>
    <mergeCell ref="BH23:BM23"/>
    <mergeCell ref="BN23:BS23"/>
    <mergeCell ref="BT23:BY23"/>
    <mergeCell ref="AJ22:AL22"/>
    <mergeCell ref="AP22:AR22"/>
    <mergeCell ref="AV22:AX22"/>
    <mergeCell ref="BB22:BD22"/>
    <mergeCell ref="BH22:BJ22"/>
    <mergeCell ref="C23:J23"/>
    <mergeCell ref="L23:Q23"/>
    <mergeCell ref="R23:W23"/>
    <mergeCell ref="X23:AC23"/>
    <mergeCell ref="AD23:AI23"/>
    <mergeCell ref="BN22:BP22"/>
    <mergeCell ref="C22:F22"/>
    <mergeCell ref="L22:N22"/>
    <mergeCell ref="R22:T22"/>
    <mergeCell ref="X22:Z22"/>
    <mergeCell ref="BT24:BY24"/>
    <mergeCell ref="BZ23:CB23"/>
    <mergeCell ref="L24:Q24"/>
    <mergeCell ref="R24:W24"/>
    <mergeCell ref="X24:AC24"/>
    <mergeCell ref="AD24:AI24"/>
    <mergeCell ref="AJ24:AO24"/>
    <mergeCell ref="AJ23:AO23"/>
    <mergeCell ref="AP24:AU24"/>
    <mergeCell ref="AV24:BA24"/>
    <mergeCell ref="A4:I4"/>
    <mergeCell ref="C24:J24"/>
    <mergeCell ref="C6:J6"/>
    <mergeCell ref="C5:J5"/>
    <mergeCell ref="BH24:BM24"/>
    <mergeCell ref="BN24:BS24"/>
    <mergeCell ref="BB24:BG24"/>
    <mergeCell ref="AP23:AU23"/>
    <mergeCell ref="AV23:BA23"/>
    <mergeCell ref="BB23:BG23"/>
  </mergeCells>
  <printOptions/>
  <pageMargins left="0.35433070866141736" right="0.2755905511811024" top="0.31496062992125984" bottom="0.35433070866141736" header="0.1968503937007874" footer="0.1968503937007874"/>
  <pageSetup horizontalDpi="600" verticalDpi="600" orientation="landscape" paperSize="9" scale="90" r:id="rId1"/>
  <headerFooter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E7" sqref="E7"/>
    </sheetView>
  </sheetViews>
  <sheetFormatPr defaultColWidth="9.140625" defaultRowHeight="12.75"/>
  <cols>
    <col min="1" max="1" width="11.8515625" style="0" customWidth="1"/>
    <col min="2" max="2" width="32.8515625" style="0" customWidth="1"/>
    <col min="3" max="3" width="11.00390625" style="0" customWidth="1"/>
    <col min="4" max="4" width="11.140625" style="0" customWidth="1"/>
    <col min="5" max="5" width="12.140625" style="51" customWidth="1"/>
    <col min="6" max="6" width="14.57421875" style="0" bestFit="1" customWidth="1"/>
    <col min="7" max="7" width="10.421875" style="0" customWidth="1"/>
  </cols>
  <sheetData>
    <row r="1" spans="1:6" ht="18">
      <c r="A1" s="15"/>
      <c r="B1" s="346" t="s">
        <v>131</v>
      </c>
      <c r="C1" s="346"/>
      <c r="D1" s="346"/>
      <c r="E1" s="346"/>
      <c r="F1" s="346"/>
    </row>
    <row r="2" spans="1:6" ht="15.75">
      <c r="A2" s="15"/>
      <c r="B2" s="347" t="s">
        <v>132</v>
      </c>
      <c r="C2" s="347"/>
      <c r="D2" s="347"/>
      <c r="E2" s="347"/>
      <c r="F2" s="347"/>
    </row>
    <row r="3" spans="1:9" ht="15.75">
      <c r="A3" s="347" t="s">
        <v>278</v>
      </c>
      <c r="B3" s="347"/>
      <c r="C3" s="347"/>
      <c r="D3" s="347"/>
      <c r="E3" s="347"/>
      <c r="F3" s="347"/>
      <c r="G3" s="347"/>
      <c r="H3" s="50"/>
      <c r="I3" s="50"/>
    </row>
    <row r="4" spans="1:6" ht="12.75">
      <c r="A4" s="15"/>
      <c r="B4" s="1"/>
      <c r="C4" s="1"/>
      <c r="D4" s="1"/>
      <c r="E4" s="52"/>
      <c r="F4" s="1"/>
    </row>
    <row r="5" ht="12.75">
      <c r="A5" s="15"/>
    </row>
    <row r="6" spans="1:7" ht="45">
      <c r="A6" s="18" t="s">
        <v>60</v>
      </c>
      <c r="B6" s="18" t="s">
        <v>61</v>
      </c>
      <c r="C6" s="18" t="s">
        <v>62</v>
      </c>
      <c r="D6" s="18" t="s">
        <v>133</v>
      </c>
      <c r="E6" s="53" t="s">
        <v>296</v>
      </c>
      <c r="F6" s="54" t="s">
        <v>63</v>
      </c>
      <c r="G6" s="18" t="s">
        <v>64</v>
      </c>
    </row>
    <row r="7" spans="1:7" ht="15">
      <c r="A7" s="325"/>
      <c r="B7" s="325"/>
      <c r="C7" s="325"/>
      <c r="D7" s="325"/>
      <c r="E7" s="326"/>
      <c r="F7" s="327"/>
      <c r="G7" s="18"/>
    </row>
    <row r="8" spans="1:7" ht="15">
      <c r="A8" s="325">
        <v>1</v>
      </c>
      <c r="B8" s="332" t="s">
        <v>266</v>
      </c>
      <c r="C8" s="29">
        <v>27415</v>
      </c>
      <c r="D8" s="28">
        <f>'Don_t print this page_ Peter'!E18</f>
        <v>0</v>
      </c>
      <c r="E8" s="56">
        <f>+C8-D8</f>
        <v>27415</v>
      </c>
      <c r="F8" s="58">
        <f>'Don_t print this page_ Peter'!G18</f>
        <v>15949.55</v>
      </c>
      <c r="G8" s="27">
        <f>+F8/E8</f>
        <v>0.5817818712383731</v>
      </c>
    </row>
    <row r="9" spans="1:7" ht="14.25">
      <c r="A9" s="22"/>
      <c r="B9" s="44"/>
      <c r="C9" s="44"/>
      <c r="D9" s="44"/>
      <c r="E9" s="334"/>
      <c r="F9" s="55"/>
      <c r="G9" s="23"/>
    </row>
    <row r="10" spans="1:7" ht="14.25">
      <c r="A10" s="21">
        <v>2</v>
      </c>
      <c r="B10" s="23" t="s">
        <v>73</v>
      </c>
      <c r="C10" s="196">
        <v>5265320</v>
      </c>
      <c r="D10" s="59">
        <f>'Don_t print this page_ Peter'!E28</f>
        <v>3785879</v>
      </c>
      <c r="E10" s="56">
        <f>+C10-D10</f>
        <v>1479441</v>
      </c>
      <c r="F10" s="58">
        <f>'Don_t print this page_ Peter'!G28</f>
        <v>1389563</v>
      </c>
      <c r="G10" s="27">
        <f>+F10/E10</f>
        <v>0.939248675682234</v>
      </c>
    </row>
    <row r="11" spans="1:7" ht="14.25">
      <c r="A11" s="21"/>
      <c r="B11" s="23"/>
      <c r="C11" s="28"/>
      <c r="D11" s="28"/>
      <c r="E11" s="56"/>
      <c r="F11" s="58"/>
      <c r="G11" s="23"/>
    </row>
    <row r="12" spans="1:7" ht="14.25">
      <c r="A12" s="21">
        <v>4</v>
      </c>
      <c r="B12" s="23" t="s">
        <v>67</v>
      </c>
      <c r="C12" s="29">
        <v>8110487</v>
      </c>
      <c r="D12" s="28">
        <f>'Don_t print this page_ Peter'!E47</f>
        <v>3535651</v>
      </c>
      <c r="E12" s="56">
        <f>+C12-D12</f>
        <v>4574836</v>
      </c>
      <c r="F12" s="58">
        <f>'Don_t print this page_ Peter'!G47</f>
        <v>1635305.65</v>
      </c>
      <c r="G12" s="27">
        <f>+F12/E12</f>
        <v>0.3574566716708533</v>
      </c>
    </row>
    <row r="13" spans="1:7" ht="14.25">
      <c r="A13" s="21"/>
      <c r="B13" s="23"/>
      <c r="C13" s="29"/>
      <c r="D13" s="28"/>
      <c r="E13" s="56"/>
      <c r="F13" s="58"/>
      <c r="G13" s="27"/>
    </row>
    <row r="14" spans="1:7" ht="14.25">
      <c r="A14" s="21">
        <v>5</v>
      </c>
      <c r="B14" s="23" t="s">
        <v>267</v>
      </c>
      <c r="C14" s="196">
        <v>2100000</v>
      </c>
      <c r="D14" s="59">
        <f>'Don_t print this page_ Peter'!E51</f>
        <v>0</v>
      </c>
      <c r="E14" s="56">
        <f>+C14-D14</f>
        <v>2100000</v>
      </c>
      <c r="F14" s="58">
        <f>'Don_t print this page_ Peter'!G51</f>
        <v>3261.9199999999255</v>
      </c>
      <c r="G14" s="27">
        <f>+F14/E14</f>
        <v>0.0015532952380952025</v>
      </c>
    </row>
    <row r="15" spans="1:7" ht="14.25" hidden="1">
      <c r="A15" s="21"/>
      <c r="B15" s="23"/>
      <c r="C15" s="196"/>
      <c r="D15" s="59"/>
      <c r="E15" s="56"/>
      <c r="F15" s="58"/>
      <c r="G15" s="27"/>
    </row>
    <row r="16" spans="1:7" ht="14.25">
      <c r="A16" s="21"/>
      <c r="B16" s="23"/>
      <c r="C16" s="29"/>
      <c r="D16" s="28"/>
      <c r="E16" s="56"/>
      <c r="F16" s="58"/>
      <c r="G16" s="23"/>
    </row>
    <row r="17" spans="1:7" ht="14.25">
      <c r="A17" s="21">
        <v>9</v>
      </c>
      <c r="B17" s="23" t="s">
        <v>70</v>
      </c>
      <c r="C17" s="196">
        <v>1400900</v>
      </c>
      <c r="D17" s="28">
        <f>'Don_t print this page_ Peter'!E59</f>
        <v>305196</v>
      </c>
      <c r="E17" s="56">
        <f>+C17-D17</f>
        <v>1095704</v>
      </c>
      <c r="F17" s="58">
        <f>'Don_t print this page_ Peter'!G59</f>
        <v>685684</v>
      </c>
      <c r="G17" s="27">
        <f>+F17/E17</f>
        <v>0.6257930974058687</v>
      </c>
    </row>
    <row r="18" spans="1:7" ht="14.25">
      <c r="A18" s="21"/>
      <c r="B18" s="23"/>
      <c r="C18" s="196"/>
      <c r="D18" s="28"/>
      <c r="E18" s="56"/>
      <c r="F18" s="58"/>
      <c r="G18" s="27"/>
    </row>
    <row r="19" spans="1:7" ht="14.25">
      <c r="A19" s="21">
        <v>8</v>
      </c>
      <c r="B19" s="23" t="s">
        <v>134</v>
      </c>
      <c r="C19" s="29">
        <v>3207901</v>
      </c>
      <c r="D19" s="28">
        <f>'Don_t print this page_ Peter'!E71</f>
        <v>1675022</v>
      </c>
      <c r="E19" s="56">
        <f>+C19-D19</f>
        <v>1532879</v>
      </c>
      <c r="F19" s="58">
        <f>'Don_t print this page_ Peter'!G71</f>
        <v>855555</v>
      </c>
      <c r="G19" s="27">
        <f>+F19/E19</f>
        <v>0.5581360303063713</v>
      </c>
    </row>
    <row r="20" spans="1:7" ht="14.25">
      <c r="A20" s="21"/>
      <c r="B20" s="23"/>
      <c r="C20" s="29"/>
      <c r="D20" s="28"/>
      <c r="E20" s="56"/>
      <c r="F20" s="58"/>
      <c r="G20" s="27"/>
    </row>
    <row r="21" spans="1:7" ht="14.25">
      <c r="A21" s="21">
        <v>6</v>
      </c>
      <c r="B21" s="23" t="s">
        <v>75</v>
      </c>
      <c r="C21" s="29">
        <v>2749201</v>
      </c>
      <c r="D21" s="28">
        <f>'Don_t print this page_ Peter'!E83</f>
        <v>1400672</v>
      </c>
      <c r="E21" s="56">
        <f>+C21-D21</f>
        <v>1348529</v>
      </c>
      <c r="F21" s="58">
        <f>'Don_t print this page_ Peter'!G83</f>
        <v>291504.02</v>
      </c>
      <c r="G21" s="27">
        <f>+F21/E21</f>
        <v>0.21616444288554418</v>
      </c>
    </row>
    <row r="22" spans="1:7" ht="14.25">
      <c r="A22" s="21"/>
      <c r="B22" s="23"/>
      <c r="C22" s="29"/>
      <c r="D22" s="28"/>
      <c r="E22" s="56"/>
      <c r="F22" s="58"/>
      <c r="G22" s="27"/>
    </row>
    <row r="23" spans="1:7" ht="14.25">
      <c r="A23" s="21">
        <v>12</v>
      </c>
      <c r="B23" s="23" t="s">
        <v>135</v>
      </c>
      <c r="C23" s="29">
        <v>800000</v>
      </c>
      <c r="D23" s="28">
        <f>'Don_t print this page_ Peter'!E86</f>
        <v>477586</v>
      </c>
      <c r="E23" s="56">
        <f>+C23-D23</f>
        <v>322414</v>
      </c>
      <c r="F23" s="58">
        <f>'Don_t print this page_ Peter'!G86</f>
        <v>113806</v>
      </c>
      <c r="G23" s="27">
        <f>+F23/E23</f>
        <v>0.3529809499587487</v>
      </c>
    </row>
    <row r="24" spans="1:7" ht="14.25">
      <c r="A24" s="21"/>
      <c r="B24" s="23"/>
      <c r="C24" s="29"/>
      <c r="D24" s="28"/>
      <c r="E24" s="56"/>
      <c r="F24" s="58"/>
      <c r="G24" s="27"/>
    </row>
    <row r="25" spans="1:7" ht="15" thickBot="1">
      <c r="A25" s="21"/>
      <c r="B25" s="23"/>
      <c r="C25" s="28"/>
      <c r="D25" s="28"/>
      <c r="E25" s="335"/>
      <c r="F25" s="58"/>
      <c r="G25" s="23"/>
    </row>
    <row r="26" spans="1:7" ht="15.75" thickTop="1">
      <c r="A26" s="21"/>
      <c r="B26" s="31" t="s">
        <v>77</v>
      </c>
      <c r="C26" s="28"/>
      <c r="D26" s="28"/>
      <c r="E26" s="333">
        <f>+E8+E12+E10+E14+E17+E19+E21+E23</f>
        <v>12481218</v>
      </c>
      <c r="F26" s="60">
        <f>SUM(F8:F25)</f>
        <v>4990629.140000001</v>
      </c>
      <c r="G26" s="40">
        <f>+F26/E26</f>
        <v>0.39985113151617097</v>
      </c>
    </row>
    <row r="27" spans="1:7" ht="12.75">
      <c r="A27" s="61"/>
      <c r="B27" s="61"/>
      <c r="C27" s="61"/>
      <c r="D27" s="61"/>
      <c r="E27" s="62"/>
      <c r="F27" s="63"/>
      <c r="G27" s="61"/>
    </row>
    <row r="28" spans="1:7" ht="12.75">
      <c r="A28" s="61"/>
      <c r="B28" s="61"/>
      <c r="C28" s="61"/>
      <c r="D28" s="61"/>
      <c r="E28" s="62"/>
      <c r="F28" s="63"/>
      <c r="G28" s="61"/>
    </row>
    <row r="30" ht="12.75">
      <c r="F30" s="64" t="s">
        <v>8</v>
      </c>
    </row>
  </sheetData>
  <sheetProtection/>
  <mergeCells count="3">
    <mergeCell ref="B1:F1"/>
    <mergeCell ref="B2:F2"/>
    <mergeCell ref="A3:G3"/>
  </mergeCells>
  <printOptions/>
  <pageMargins left="0.5511811023622047" right="0.35433070866141736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80" zoomScaleNormal="80" zoomScalePageLayoutView="0" workbookViewId="0" topLeftCell="B15">
      <selection activeCell="F53" sqref="F53"/>
    </sheetView>
  </sheetViews>
  <sheetFormatPr defaultColWidth="9.140625" defaultRowHeight="12.75"/>
  <cols>
    <col min="1" max="1" width="11.28125" style="0" customWidth="1"/>
    <col min="2" max="2" width="23.140625" style="15" customWidth="1"/>
    <col min="3" max="3" width="12.7109375" style="0" customWidth="1"/>
    <col min="4" max="4" width="12.140625" style="0" customWidth="1"/>
    <col min="5" max="5" width="12.421875" style="0" customWidth="1"/>
    <col min="6" max="6" width="13.28125" style="0" customWidth="1"/>
    <col min="7" max="7" width="13.57421875" style="0" customWidth="1"/>
    <col min="8" max="8" width="13.00390625" style="0" customWidth="1"/>
    <col min="9" max="9" width="16.00390625" style="0" customWidth="1"/>
    <col min="10" max="10" width="50.57421875" style="0" customWidth="1"/>
  </cols>
  <sheetData>
    <row r="1" spans="1:10" s="47" customFormat="1" ht="18">
      <c r="A1" s="346" t="s">
        <v>274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s="47" customFormat="1" ht="15.75">
      <c r="A2" s="347" t="s">
        <v>275</v>
      </c>
      <c r="B2" s="347"/>
      <c r="C2" s="347"/>
      <c r="D2" s="347"/>
      <c r="E2" s="347"/>
      <c r="F2" s="347"/>
      <c r="G2" s="347"/>
      <c r="H2" s="347"/>
      <c r="I2" s="347"/>
      <c r="J2" s="347"/>
    </row>
    <row r="3" spans="1:10" ht="15.75">
      <c r="A3" s="347" t="s">
        <v>278</v>
      </c>
      <c r="B3" s="347"/>
      <c r="C3" s="347"/>
      <c r="D3" s="347"/>
      <c r="E3" s="347"/>
      <c r="F3" s="347"/>
      <c r="G3" s="347"/>
      <c r="H3" s="347"/>
      <c r="I3" s="347"/>
      <c r="J3" s="347"/>
    </row>
    <row r="4" ht="24" customHeight="1"/>
    <row r="5" spans="1:10" s="1" customFormat="1" ht="30" customHeight="1">
      <c r="A5" s="65" t="s">
        <v>136</v>
      </c>
      <c r="B5" s="65" t="s">
        <v>137</v>
      </c>
      <c r="C5" s="66" t="s">
        <v>249</v>
      </c>
      <c r="D5" s="66" t="s">
        <v>250</v>
      </c>
      <c r="E5" s="67" t="s">
        <v>138</v>
      </c>
      <c r="F5" s="67" t="s">
        <v>139</v>
      </c>
      <c r="G5" s="68" t="s">
        <v>284</v>
      </c>
      <c r="H5" s="69" t="s">
        <v>140</v>
      </c>
      <c r="I5" s="68" t="s">
        <v>285</v>
      </c>
      <c r="J5" s="65" t="s">
        <v>141</v>
      </c>
    </row>
    <row r="6" spans="1:10" s="1" customFormat="1" ht="30" customHeight="1" hidden="1">
      <c r="A6" s="71"/>
      <c r="B6" s="71"/>
      <c r="C6" s="318"/>
      <c r="D6" s="318"/>
      <c r="E6" s="318"/>
      <c r="F6" s="319"/>
      <c r="G6" s="320"/>
      <c r="H6" s="321"/>
      <c r="I6" s="320"/>
      <c r="J6" s="71"/>
    </row>
    <row r="7" spans="1:10" s="1" customFormat="1" ht="30" customHeight="1">
      <c r="A7" s="71"/>
      <c r="B7" s="71"/>
      <c r="C7" s="318"/>
      <c r="D7" s="318"/>
      <c r="E7" s="318"/>
      <c r="F7" s="319"/>
      <c r="G7" s="320"/>
      <c r="H7" s="321"/>
      <c r="I7" s="320"/>
      <c r="J7" s="71"/>
    </row>
    <row r="8" spans="1:10" s="1" customFormat="1" ht="30" customHeight="1" hidden="1">
      <c r="A8" s="71"/>
      <c r="B8" s="71"/>
      <c r="C8" s="318"/>
      <c r="D8" s="318"/>
      <c r="E8" s="318"/>
      <c r="F8" s="319"/>
      <c r="G8" s="320"/>
      <c r="H8" s="321"/>
      <c r="I8" s="320"/>
      <c r="J8" s="71"/>
    </row>
    <row r="9" spans="1:10" s="47" customFormat="1" ht="12.75" customHeight="1">
      <c r="A9" s="70"/>
      <c r="B9" s="71"/>
      <c r="C9" s="72"/>
      <c r="D9" s="73"/>
      <c r="E9" s="73"/>
      <c r="F9" s="74"/>
      <c r="G9" s="75"/>
      <c r="H9" s="76"/>
      <c r="I9" s="77"/>
      <c r="J9" s="70"/>
    </row>
    <row r="10" spans="1:14" s="89" customFormat="1" ht="12.75" hidden="1">
      <c r="A10" s="78"/>
      <c r="B10" s="79"/>
      <c r="C10" s="80"/>
      <c r="D10" s="81"/>
      <c r="E10" s="82"/>
      <c r="F10" s="83"/>
      <c r="G10" s="84"/>
      <c r="H10" s="85"/>
      <c r="I10" s="86"/>
      <c r="J10" s="87"/>
      <c r="K10" s="88"/>
      <c r="L10" s="88"/>
      <c r="M10" s="88"/>
      <c r="N10" s="88"/>
    </row>
    <row r="11" spans="1:14" s="89" customFormat="1" ht="12.75">
      <c r="A11" s="201" t="s">
        <v>142</v>
      </c>
      <c r="B11" s="201">
        <v>2070632194</v>
      </c>
      <c r="C11" s="80" t="s">
        <v>144</v>
      </c>
      <c r="D11" s="205">
        <v>40473</v>
      </c>
      <c r="E11" s="204">
        <v>0.0595</v>
      </c>
      <c r="F11" s="205">
        <v>40563</v>
      </c>
      <c r="G11" s="225">
        <v>9000000</v>
      </c>
      <c r="H11" s="226">
        <v>45480.82</v>
      </c>
      <c r="I11" s="225">
        <v>9000000</v>
      </c>
      <c r="J11" s="199" t="s">
        <v>184</v>
      </c>
      <c r="K11" s="88"/>
      <c r="L11" s="88"/>
      <c r="M11" s="88"/>
      <c r="N11" s="88"/>
    </row>
    <row r="12" spans="1:14" s="89" customFormat="1" ht="12.75">
      <c r="A12" s="201" t="s">
        <v>142</v>
      </c>
      <c r="B12" s="201">
        <v>2069733907</v>
      </c>
      <c r="C12" s="80" t="s">
        <v>144</v>
      </c>
      <c r="D12" s="205">
        <v>40497</v>
      </c>
      <c r="E12" s="204">
        <v>0.0586</v>
      </c>
      <c r="F12" s="205">
        <v>40588</v>
      </c>
      <c r="G12" s="225">
        <v>10000000</v>
      </c>
      <c r="H12" s="226">
        <v>49769.86</v>
      </c>
      <c r="I12" s="225">
        <v>10000000</v>
      </c>
      <c r="J12" s="199" t="s">
        <v>184</v>
      </c>
      <c r="K12" s="88"/>
      <c r="L12" s="88"/>
      <c r="M12" s="88"/>
      <c r="N12" s="88"/>
    </row>
    <row r="13" spans="1:14" s="89" customFormat="1" ht="12.75" hidden="1">
      <c r="A13" s="201" t="s">
        <v>142</v>
      </c>
      <c r="B13" s="201">
        <v>2069037779</v>
      </c>
      <c r="C13" s="202"/>
      <c r="D13" s="205"/>
      <c r="E13" s="204"/>
      <c r="F13" s="205"/>
      <c r="G13" s="227"/>
      <c r="H13" s="226"/>
      <c r="I13" s="227"/>
      <c r="J13" s="199"/>
      <c r="K13" s="88"/>
      <c r="L13" s="88"/>
      <c r="M13" s="88"/>
      <c r="N13" s="88"/>
    </row>
    <row r="14" spans="1:10" s="89" customFormat="1" ht="27" customHeight="1" hidden="1">
      <c r="A14" s="201"/>
      <c r="B14" s="201"/>
      <c r="C14" s="202"/>
      <c r="D14" s="205"/>
      <c r="E14" s="204"/>
      <c r="F14" s="205"/>
      <c r="G14" s="227"/>
      <c r="H14" s="226"/>
      <c r="I14" s="227"/>
      <c r="J14" s="199"/>
    </row>
    <row r="15" spans="1:10" s="89" customFormat="1" ht="27" customHeight="1">
      <c r="A15" s="201" t="s">
        <v>142</v>
      </c>
      <c r="B15" s="201">
        <v>2070506139</v>
      </c>
      <c r="C15" s="202" t="s">
        <v>147</v>
      </c>
      <c r="D15" s="205">
        <v>40371</v>
      </c>
      <c r="E15" s="206">
        <v>0.067</v>
      </c>
      <c r="F15" s="205">
        <v>40553</v>
      </c>
      <c r="G15" s="227">
        <v>10000000</v>
      </c>
      <c r="H15" s="226">
        <v>56904</v>
      </c>
      <c r="I15" s="227">
        <v>10000000</v>
      </c>
      <c r="J15" s="199" t="s">
        <v>143</v>
      </c>
    </row>
    <row r="16" spans="1:10" s="89" customFormat="1" ht="27" customHeight="1" hidden="1">
      <c r="A16" s="201"/>
      <c r="B16" s="201"/>
      <c r="C16" s="202"/>
      <c r="D16" s="205"/>
      <c r="E16" s="206"/>
      <c r="F16" s="205"/>
      <c r="G16" s="227"/>
      <c r="H16" s="226"/>
      <c r="I16" s="227"/>
      <c r="J16" s="199"/>
    </row>
    <row r="17" spans="1:10" s="89" customFormat="1" ht="27" customHeight="1">
      <c r="A17" s="201" t="s">
        <v>142</v>
      </c>
      <c r="B17" s="201">
        <v>2070911083</v>
      </c>
      <c r="C17" s="80" t="s">
        <v>144</v>
      </c>
      <c r="D17" s="205">
        <v>40515</v>
      </c>
      <c r="E17" s="206">
        <v>0.0573</v>
      </c>
      <c r="F17" s="342">
        <v>40605</v>
      </c>
      <c r="G17" s="230">
        <v>0</v>
      </c>
      <c r="H17" s="226">
        <v>45526.03</v>
      </c>
      <c r="I17" s="227">
        <v>10000000</v>
      </c>
      <c r="J17" s="199" t="s">
        <v>286</v>
      </c>
    </row>
    <row r="18" spans="1:10" s="89" customFormat="1" ht="27" customHeight="1" thickBot="1">
      <c r="A18" s="207" t="s">
        <v>142</v>
      </c>
      <c r="B18" s="207">
        <v>9094429849</v>
      </c>
      <c r="C18" s="338" t="s">
        <v>149</v>
      </c>
      <c r="D18" s="209" t="s">
        <v>255</v>
      </c>
      <c r="E18" s="210">
        <v>0.0505</v>
      </c>
      <c r="F18" s="344" t="s">
        <v>149</v>
      </c>
      <c r="G18" s="345">
        <v>5000000</v>
      </c>
      <c r="H18" s="229">
        <v>41506.85</v>
      </c>
      <c r="I18" s="228">
        <v>10000000</v>
      </c>
      <c r="J18" s="200" t="s">
        <v>143</v>
      </c>
    </row>
    <row r="19" spans="1:10" s="89" customFormat="1" ht="27" customHeight="1">
      <c r="A19" s="201"/>
      <c r="B19" s="201"/>
      <c r="C19" s="202"/>
      <c r="D19" s="205"/>
      <c r="E19" s="206"/>
      <c r="F19" s="205"/>
      <c r="G19" s="227"/>
      <c r="H19" s="226"/>
      <c r="I19" s="227"/>
      <c r="J19" s="199"/>
    </row>
    <row r="20" spans="1:10" s="89" customFormat="1" ht="27" customHeight="1">
      <c r="A20" s="201" t="s">
        <v>145</v>
      </c>
      <c r="B20" s="201">
        <v>60078054714</v>
      </c>
      <c r="C20" s="202" t="s">
        <v>147</v>
      </c>
      <c r="D20" s="205">
        <v>40436</v>
      </c>
      <c r="E20" s="206">
        <v>0.0615</v>
      </c>
      <c r="F20" s="205">
        <v>40624</v>
      </c>
      <c r="G20" s="227">
        <v>11000000</v>
      </c>
      <c r="H20" s="226">
        <v>57456.16</v>
      </c>
      <c r="I20" s="227">
        <v>11000000</v>
      </c>
      <c r="J20" s="199" t="s">
        <v>143</v>
      </c>
    </row>
    <row r="21" spans="1:10" s="89" customFormat="1" ht="12.75">
      <c r="A21" s="201"/>
      <c r="B21" s="201"/>
      <c r="C21" s="202"/>
      <c r="D21" s="205"/>
      <c r="E21" s="204"/>
      <c r="F21" s="205"/>
      <c r="G21" s="227"/>
      <c r="H21" s="226"/>
      <c r="I21" s="227"/>
      <c r="J21" s="199"/>
    </row>
    <row r="22" spans="1:10" s="89" customFormat="1" ht="12.75" hidden="1">
      <c r="A22" s="201"/>
      <c r="B22" s="201"/>
      <c r="C22" s="202"/>
      <c r="D22" s="205"/>
      <c r="E22" s="204"/>
      <c r="F22" s="205"/>
      <c r="G22" s="227"/>
      <c r="H22" s="226"/>
      <c r="I22" s="227"/>
      <c r="J22" s="199"/>
    </row>
    <row r="23" spans="1:10" s="89" customFormat="1" ht="12.75" hidden="1">
      <c r="A23" s="201"/>
      <c r="B23" s="201"/>
      <c r="C23" s="202"/>
      <c r="D23" s="205"/>
      <c r="E23" s="204"/>
      <c r="F23" s="205"/>
      <c r="G23" s="225"/>
      <c r="H23" s="226"/>
      <c r="I23" s="225"/>
      <c r="J23" s="199"/>
    </row>
    <row r="24" spans="1:10" s="89" customFormat="1" ht="12.75" hidden="1">
      <c r="A24" s="201"/>
      <c r="B24" s="201"/>
      <c r="C24" s="202"/>
      <c r="D24" s="205"/>
      <c r="E24" s="204"/>
      <c r="F24" s="205"/>
      <c r="G24" s="225"/>
      <c r="H24" s="225"/>
      <c r="I24" s="225"/>
      <c r="J24" s="199"/>
    </row>
    <row r="25" spans="1:10" s="89" customFormat="1" ht="12.75" hidden="1">
      <c r="A25" s="201"/>
      <c r="B25" s="201"/>
      <c r="C25" s="202"/>
      <c r="D25" s="205"/>
      <c r="E25" s="204"/>
      <c r="F25" s="205"/>
      <c r="G25" s="225"/>
      <c r="H25" s="226"/>
      <c r="I25" s="225"/>
      <c r="J25" s="199"/>
    </row>
    <row r="26" spans="1:10" s="89" customFormat="1" ht="13.5" hidden="1" thickBot="1">
      <c r="A26" s="207"/>
      <c r="B26" s="207"/>
      <c r="C26" s="202"/>
      <c r="D26" s="205"/>
      <c r="E26" s="204"/>
      <c r="F26" s="205"/>
      <c r="G26" s="225"/>
      <c r="H26" s="226"/>
      <c r="I26" s="227"/>
      <c r="J26" s="199"/>
    </row>
    <row r="27" spans="1:10" s="89" customFormat="1" ht="12.75" hidden="1">
      <c r="A27" s="212"/>
      <c r="B27" s="212"/>
      <c r="C27" s="213"/>
      <c r="D27" s="205"/>
      <c r="E27" s="204"/>
      <c r="F27" s="205"/>
      <c r="G27" s="227"/>
      <c r="H27" s="226"/>
      <c r="I27" s="227"/>
      <c r="J27" s="199"/>
    </row>
    <row r="28" spans="1:10" s="89" customFormat="1" ht="12.75">
      <c r="A28" s="201"/>
      <c r="B28" s="201"/>
      <c r="C28" s="202"/>
      <c r="D28" s="205"/>
      <c r="E28" s="204"/>
      <c r="F28" s="205"/>
      <c r="G28" s="227"/>
      <c r="H28" s="226"/>
      <c r="I28" s="227"/>
      <c r="J28" s="199"/>
    </row>
    <row r="29" spans="1:10" s="89" customFormat="1" ht="25.5">
      <c r="A29" s="201" t="s">
        <v>146</v>
      </c>
      <c r="B29" s="201" t="s">
        <v>251</v>
      </c>
      <c r="C29" s="202" t="s">
        <v>276</v>
      </c>
      <c r="D29" s="205">
        <v>40483</v>
      </c>
      <c r="E29" s="204">
        <v>0.058</v>
      </c>
      <c r="F29" s="205">
        <v>40515</v>
      </c>
      <c r="G29" s="225">
        <v>10000000</v>
      </c>
      <c r="H29" s="226">
        <v>46717.81</v>
      </c>
      <c r="I29" s="225">
        <v>10000000</v>
      </c>
      <c r="J29" s="199" t="s">
        <v>288</v>
      </c>
    </row>
    <row r="30" spans="1:10" s="89" customFormat="1" ht="13.5" hidden="1" thickBot="1">
      <c r="A30" s="201"/>
      <c r="B30" s="201"/>
      <c r="C30" s="202"/>
      <c r="D30" s="205"/>
      <c r="E30" s="204"/>
      <c r="F30" s="205"/>
      <c r="G30" s="227"/>
      <c r="H30" s="226"/>
      <c r="I30" s="227"/>
      <c r="J30" s="200"/>
    </row>
    <row r="31" spans="1:10" s="89" customFormat="1" ht="13.5" thickBot="1">
      <c r="A31" s="201"/>
      <c r="B31" s="201"/>
      <c r="C31" s="202"/>
      <c r="D31" s="205"/>
      <c r="E31" s="204"/>
      <c r="F31" s="205"/>
      <c r="G31" s="227"/>
      <c r="H31" s="226"/>
      <c r="I31" s="227"/>
      <c r="J31" s="199"/>
    </row>
    <row r="32" spans="1:10" s="89" customFormat="1" ht="12.75" hidden="1">
      <c r="A32" s="201" t="s">
        <v>146</v>
      </c>
      <c r="B32" s="201"/>
      <c r="C32" s="202"/>
      <c r="D32" s="205"/>
      <c r="E32" s="204"/>
      <c r="F32" s="205"/>
      <c r="G32" s="227"/>
      <c r="H32" s="226"/>
      <c r="I32" s="227"/>
      <c r="J32" s="199"/>
    </row>
    <row r="33" spans="1:10" s="89" customFormat="1" ht="13.5" hidden="1" thickBot="1">
      <c r="A33" s="201" t="s">
        <v>146</v>
      </c>
      <c r="B33" s="201"/>
      <c r="C33" s="202"/>
      <c r="D33" s="205"/>
      <c r="E33" s="204"/>
      <c r="F33" s="205"/>
      <c r="G33" s="230"/>
      <c r="H33" s="226"/>
      <c r="I33" s="227"/>
      <c r="J33" s="199"/>
    </row>
    <row r="34" spans="1:10" s="89" customFormat="1" ht="12.75">
      <c r="A34" s="214"/>
      <c r="B34" s="214"/>
      <c r="C34" s="215"/>
      <c r="D34" s="216"/>
      <c r="E34" s="217"/>
      <c r="F34" s="218"/>
      <c r="G34" s="231"/>
      <c r="H34" s="232"/>
      <c r="I34" s="231"/>
      <c r="J34" s="219"/>
    </row>
    <row r="35" spans="1:10" s="89" customFormat="1" ht="12.75" hidden="1">
      <c r="A35" s="201"/>
      <c r="B35" s="201"/>
      <c r="C35" s="202"/>
      <c r="D35" s="205"/>
      <c r="E35" s="204"/>
      <c r="F35" s="205"/>
      <c r="G35" s="230"/>
      <c r="H35" s="226"/>
      <c r="I35" s="227"/>
      <c r="J35" s="199"/>
    </row>
    <row r="36" spans="1:10" s="89" customFormat="1" ht="25.5">
      <c r="A36" s="201" t="s">
        <v>148</v>
      </c>
      <c r="B36" s="201" t="s">
        <v>252</v>
      </c>
      <c r="C36" s="202" t="s">
        <v>144</v>
      </c>
      <c r="D36" s="205">
        <v>40438</v>
      </c>
      <c r="E36" s="204">
        <v>0.0597</v>
      </c>
      <c r="F36" s="205">
        <v>40529</v>
      </c>
      <c r="G36" s="227">
        <v>10000000</v>
      </c>
      <c r="H36" s="226">
        <v>48895.89</v>
      </c>
      <c r="I36" s="227">
        <v>10000000</v>
      </c>
      <c r="J36" s="199" t="s">
        <v>289</v>
      </c>
    </row>
    <row r="37" spans="1:10" s="89" customFormat="1" ht="25.5">
      <c r="A37" s="201" t="s">
        <v>148</v>
      </c>
      <c r="B37" s="201" t="s">
        <v>277</v>
      </c>
      <c r="C37" s="202" t="s">
        <v>185</v>
      </c>
      <c r="D37" s="203">
        <v>40462</v>
      </c>
      <c r="E37" s="204">
        <v>0.0588</v>
      </c>
      <c r="F37" s="205">
        <v>40525</v>
      </c>
      <c r="G37" s="227">
        <v>10000000</v>
      </c>
      <c r="H37" s="226">
        <v>48065.75</v>
      </c>
      <c r="I37" s="227">
        <v>10000000</v>
      </c>
      <c r="J37" s="199" t="s">
        <v>290</v>
      </c>
    </row>
    <row r="38" spans="1:10" s="89" customFormat="1" ht="12.75" hidden="1">
      <c r="A38" s="201"/>
      <c r="B38" s="201"/>
      <c r="C38" s="202"/>
      <c r="D38" s="203"/>
      <c r="E38" s="204"/>
      <c r="F38" s="205"/>
      <c r="G38" s="227"/>
      <c r="H38" s="226"/>
      <c r="I38" s="227"/>
      <c r="J38" s="199"/>
    </row>
    <row r="39" spans="1:10" s="89" customFormat="1" ht="12.75">
      <c r="A39" s="201" t="s">
        <v>148</v>
      </c>
      <c r="B39" s="201" t="s">
        <v>253</v>
      </c>
      <c r="C39" s="202" t="s">
        <v>144</v>
      </c>
      <c r="D39" s="205">
        <v>40494</v>
      </c>
      <c r="E39" s="204">
        <v>0.0595</v>
      </c>
      <c r="F39" s="205">
        <v>40585</v>
      </c>
      <c r="G39" s="227">
        <v>10000000</v>
      </c>
      <c r="H39" s="226">
        <v>50534.25</v>
      </c>
      <c r="I39" s="227">
        <v>10000000</v>
      </c>
      <c r="J39" s="199" t="s">
        <v>184</v>
      </c>
    </row>
    <row r="40" spans="1:10" s="89" customFormat="1" ht="13.5" thickBot="1">
      <c r="A40" s="207"/>
      <c r="B40" s="207"/>
      <c r="C40" s="208"/>
      <c r="D40" s="209"/>
      <c r="E40" s="211"/>
      <c r="F40" s="209"/>
      <c r="G40" s="228"/>
      <c r="H40" s="229"/>
      <c r="I40" s="228"/>
      <c r="J40" s="200"/>
    </row>
    <row r="41" spans="1:10" s="89" customFormat="1" ht="12.75">
      <c r="A41" s="201"/>
      <c r="B41" s="201"/>
      <c r="C41" s="202"/>
      <c r="D41" s="203"/>
      <c r="E41" s="204"/>
      <c r="F41" s="205"/>
      <c r="G41" s="227"/>
      <c r="H41" s="226"/>
      <c r="I41" s="227"/>
      <c r="J41" s="199"/>
    </row>
    <row r="42" spans="1:10" s="89" customFormat="1" ht="12.75">
      <c r="A42" s="201"/>
      <c r="B42" s="201" t="s">
        <v>287</v>
      </c>
      <c r="C42" s="337" t="s">
        <v>147</v>
      </c>
      <c r="D42" s="203">
        <v>40515</v>
      </c>
      <c r="E42" s="204">
        <v>0.0571</v>
      </c>
      <c r="F42" s="205">
        <v>40332</v>
      </c>
      <c r="G42" s="227">
        <v>0</v>
      </c>
      <c r="H42" s="226">
        <v>45367.12</v>
      </c>
      <c r="I42" s="227">
        <v>10000000</v>
      </c>
      <c r="J42" s="199" t="s">
        <v>286</v>
      </c>
    </row>
    <row r="43" spans="1:10" s="89" customFormat="1" ht="12.75">
      <c r="A43" s="201" t="s">
        <v>150</v>
      </c>
      <c r="B43" s="316" t="s">
        <v>256</v>
      </c>
      <c r="C43" s="337" t="s">
        <v>144</v>
      </c>
      <c r="D43" s="205">
        <v>40494</v>
      </c>
      <c r="E43" s="204">
        <v>0.0587</v>
      </c>
      <c r="F43" s="205">
        <v>40585</v>
      </c>
      <c r="G43" s="227">
        <v>10000000</v>
      </c>
      <c r="H43" s="226">
        <v>57328.77</v>
      </c>
      <c r="I43" s="227">
        <v>10000000</v>
      </c>
      <c r="J43" s="199" t="s">
        <v>184</v>
      </c>
    </row>
    <row r="44" spans="1:10" s="89" customFormat="1" ht="12.75" hidden="1">
      <c r="A44" s="201"/>
      <c r="B44" s="316"/>
      <c r="C44" s="337"/>
      <c r="D44" s="203"/>
      <c r="E44" s="204"/>
      <c r="F44" s="205"/>
      <c r="G44" s="227"/>
      <c r="H44" s="226"/>
      <c r="I44" s="227"/>
      <c r="J44" s="199"/>
    </row>
    <row r="45" spans="1:10" s="89" customFormat="1" ht="12.75" hidden="1">
      <c r="A45" s="201"/>
      <c r="B45" s="316"/>
      <c r="C45" s="337"/>
      <c r="D45" s="203"/>
      <c r="E45" s="206"/>
      <c r="F45" s="205"/>
      <c r="G45" s="227"/>
      <c r="H45" s="226"/>
      <c r="I45" s="227"/>
      <c r="J45" s="199"/>
    </row>
    <row r="46" spans="1:10" s="89" customFormat="1" ht="12.75">
      <c r="A46" s="201" t="s">
        <v>150</v>
      </c>
      <c r="B46" s="316" t="s">
        <v>254</v>
      </c>
      <c r="C46" s="337" t="s">
        <v>147</v>
      </c>
      <c r="D46" s="205">
        <v>40371</v>
      </c>
      <c r="E46" s="206">
        <v>0.0675</v>
      </c>
      <c r="F46" s="205">
        <v>40554</v>
      </c>
      <c r="G46" s="227">
        <v>10000000</v>
      </c>
      <c r="H46" s="226">
        <v>51553.42</v>
      </c>
      <c r="I46" s="227">
        <v>10000000</v>
      </c>
      <c r="J46" s="199" t="s">
        <v>184</v>
      </c>
    </row>
    <row r="47" spans="1:11" s="89" customFormat="1" ht="12.75">
      <c r="A47" s="201" t="s">
        <v>150</v>
      </c>
      <c r="B47" s="316" t="s">
        <v>186</v>
      </c>
      <c r="C47" s="337" t="s">
        <v>144</v>
      </c>
      <c r="D47" s="205">
        <v>40464</v>
      </c>
      <c r="E47" s="206">
        <v>0.0607</v>
      </c>
      <c r="F47" s="205">
        <v>40557</v>
      </c>
      <c r="G47" s="227">
        <v>10000000</v>
      </c>
      <c r="H47" s="226">
        <v>49854.79</v>
      </c>
      <c r="I47" s="227">
        <v>10000000</v>
      </c>
      <c r="J47" s="199" t="s">
        <v>184</v>
      </c>
      <c r="K47" s="89" t="s">
        <v>8</v>
      </c>
    </row>
    <row r="48" spans="1:10" s="89" customFormat="1" ht="13.5" thickBot="1">
      <c r="A48" s="207" t="s">
        <v>150</v>
      </c>
      <c r="B48" s="315" t="s">
        <v>183</v>
      </c>
      <c r="C48" s="338" t="s">
        <v>149</v>
      </c>
      <c r="D48" s="317">
        <v>40359</v>
      </c>
      <c r="E48" s="210">
        <v>0.057</v>
      </c>
      <c r="F48" s="209" t="s">
        <v>149</v>
      </c>
      <c r="G48" s="228">
        <v>7000000</v>
      </c>
      <c r="H48" s="229">
        <v>34619.18</v>
      </c>
      <c r="I48" s="228">
        <v>5000000</v>
      </c>
      <c r="J48" s="200" t="s">
        <v>184</v>
      </c>
    </row>
    <row r="49" spans="1:10" s="89" customFormat="1" ht="13.5" thickBot="1">
      <c r="A49" s="201"/>
      <c r="B49" s="201"/>
      <c r="C49" s="202"/>
      <c r="D49" s="205"/>
      <c r="E49" s="206"/>
      <c r="F49" s="205"/>
      <c r="G49" s="228"/>
      <c r="H49" s="229"/>
      <c r="I49" s="228"/>
      <c r="J49" s="199"/>
    </row>
    <row r="50" spans="1:10" s="89" customFormat="1" ht="13.5" thickBot="1">
      <c r="A50" s="201"/>
      <c r="B50" s="201"/>
      <c r="C50" s="202"/>
      <c r="D50" s="205"/>
      <c r="E50" s="206"/>
      <c r="F50" s="205"/>
      <c r="G50" s="233">
        <f>SUM(G5:G48)</f>
        <v>122000000</v>
      </c>
      <c r="H50" s="234">
        <f>SUM(H4:H49)</f>
        <v>729580.7000000002</v>
      </c>
      <c r="I50" s="235">
        <f>SUM(I4:I48)</f>
        <v>145000000</v>
      </c>
      <c r="J50" s="336"/>
    </row>
    <row r="51" spans="1:10" s="47" customFormat="1" ht="14.25" thickBot="1" thickTop="1">
      <c r="A51" s="220"/>
      <c r="B51" s="220"/>
      <c r="C51" s="221"/>
      <c r="D51" s="222"/>
      <c r="E51" s="223"/>
      <c r="F51" s="224"/>
      <c r="G51" s="339"/>
      <c r="H51" s="340"/>
      <c r="I51" s="341"/>
      <c r="J51" s="220"/>
    </row>
    <row r="52" spans="2:9" s="89" customFormat="1" ht="12.75">
      <c r="B52" s="90"/>
      <c r="G52" s="89" t="s">
        <v>8</v>
      </c>
      <c r="I52" s="91"/>
    </row>
    <row r="53" s="89" customFormat="1" ht="12.75">
      <c r="B53" s="90"/>
    </row>
    <row r="54" spans="1:2" s="89" customFormat="1" ht="12.75">
      <c r="A54" s="197"/>
      <c r="B54" s="198"/>
    </row>
    <row r="55" spans="2:6" s="89" customFormat="1" ht="12.75">
      <c r="B55" s="90"/>
      <c r="F55" s="89" t="s">
        <v>8</v>
      </c>
    </row>
  </sheetData>
  <sheetProtection/>
  <mergeCells count="3">
    <mergeCell ref="A1:J1"/>
    <mergeCell ref="A2:J2"/>
    <mergeCell ref="A3:J3"/>
  </mergeCells>
  <printOptions/>
  <pageMargins left="0.5511811023622047" right="0.35433070866141736" top="0.66" bottom="0.56" header="0.5118110236220472" footer="0.34"/>
  <pageSetup fitToHeight="1" fitToWidth="1" horizontalDpi="300" verticalDpi="3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C76">
      <selection activeCell="D81" sqref="D81"/>
    </sheetView>
  </sheetViews>
  <sheetFormatPr defaultColWidth="9.140625" defaultRowHeight="12.75"/>
  <cols>
    <col min="1" max="1" width="11.28125" style="0" customWidth="1"/>
    <col min="2" max="2" width="52.28125" style="15" customWidth="1"/>
    <col min="3" max="3" width="13.57421875" style="0" customWidth="1"/>
    <col min="4" max="4" width="18.00390625" style="0" customWidth="1"/>
    <col min="5" max="5" width="14.28125" style="0" customWidth="1"/>
    <col min="6" max="6" width="17.421875" style="0" customWidth="1"/>
    <col min="7" max="7" width="14.7109375" style="92" customWidth="1"/>
    <col min="8" max="8" width="14.28125" style="0" customWidth="1"/>
    <col min="9" max="9" width="35.28125" style="0" customWidth="1"/>
  </cols>
  <sheetData>
    <row r="1" spans="1:8" ht="20.25">
      <c r="A1" s="93"/>
      <c r="B1" s="94" t="s">
        <v>151</v>
      </c>
      <c r="D1" s="95"/>
      <c r="E1" s="95"/>
      <c r="F1" s="95"/>
      <c r="G1" s="96"/>
      <c r="H1" s="97"/>
    </row>
    <row r="2" spans="1:8" ht="20.25">
      <c r="A2" s="93"/>
      <c r="B2" s="97"/>
      <c r="C2" s="98"/>
      <c r="D2" s="97"/>
      <c r="E2" s="97"/>
      <c r="F2" s="97"/>
      <c r="G2" s="99"/>
      <c r="H2" s="97"/>
    </row>
    <row r="3" spans="1:8" ht="25.5">
      <c r="A3" s="69" t="s">
        <v>152</v>
      </c>
      <c r="B3" s="69" t="s">
        <v>153</v>
      </c>
      <c r="C3" s="69" t="s">
        <v>154</v>
      </c>
      <c r="D3" s="69" t="s">
        <v>155</v>
      </c>
      <c r="E3" s="69" t="s">
        <v>156</v>
      </c>
      <c r="F3" s="100" t="s">
        <v>197</v>
      </c>
      <c r="G3" s="101" t="s">
        <v>157</v>
      </c>
      <c r="H3" s="69" t="s">
        <v>158</v>
      </c>
    </row>
    <row r="4" spans="1:8" ht="12.75">
      <c r="A4" s="102"/>
      <c r="B4" s="103"/>
      <c r="C4" s="104"/>
      <c r="D4" s="105"/>
      <c r="E4" s="105"/>
      <c r="F4" s="106"/>
      <c r="G4" s="107"/>
      <c r="H4" s="108"/>
    </row>
    <row r="5" spans="1:8" ht="12.75" hidden="1">
      <c r="A5" s="109"/>
      <c r="B5" s="110"/>
      <c r="C5" s="104"/>
      <c r="D5" s="111"/>
      <c r="E5" s="105"/>
      <c r="F5" s="106"/>
      <c r="G5" s="107"/>
      <c r="H5" s="108"/>
    </row>
    <row r="6" spans="1:8" ht="12.75" hidden="1">
      <c r="A6" s="112"/>
      <c r="B6" s="113"/>
      <c r="C6" s="104"/>
      <c r="D6" s="105"/>
      <c r="E6" s="105"/>
      <c r="F6" s="106"/>
      <c r="G6" s="107"/>
      <c r="H6" s="108"/>
    </row>
    <row r="7" spans="1:8" ht="12.75" hidden="1">
      <c r="A7" s="102"/>
      <c r="B7" s="113"/>
      <c r="C7" s="104"/>
      <c r="D7" s="105"/>
      <c r="E7" s="105"/>
      <c r="F7" s="106"/>
      <c r="G7" s="107"/>
      <c r="H7" s="108"/>
    </row>
    <row r="8" spans="1:8" ht="12.75" hidden="1">
      <c r="A8" s="112"/>
      <c r="B8" s="113"/>
      <c r="C8" s="104"/>
      <c r="D8" s="105"/>
      <c r="E8" s="105"/>
      <c r="F8" s="106"/>
      <c r="G8" s="107"/>
      <c r="H8" s="108"/>
    </row>
    <row r="9" spans="1:8" ht="12.75" hidden="1">
      <c r="A9" s="102"/>
      <c r="B9" s="113"/>
      <c r="C9" s="104"/>
      <c r="D9" s="105"/>
      <c r="E9" s="105"/>
      <c r="F9" s="106"/>
      <c r="G9" s="107"/>
      <c r="H9" s="108"/>
    </row>
    <row r="10" spans="1:8" ht="12.75" hidden="1">
      <c r="A10" s="102"/>
      <c r="B10" s="113"/>
      <c r="C10" s="104"/>
      <c r="D10" s="114"/>
      <c r="E10" s="114"/>
      <c r="F10" s="106"/>
      <c r="G10" s="107"/>
      <c r="H10" s="108"/>
    </row>
    <row r="11" spans="1:8" ht="12.75" hidden="1">
      <c r="A11" s="112"/>
      <c r="B11" s="115"/>
      <c r="C11" s="104"/>
      <c r="D11" s="108"/>
      <c r="E11" s="108"/>
      <c r="F11" s="106"/>
      <c r="G11" s="107"/>
      <c r="H11" s="108"/>
    </row>
    <row r="12" spans="1:8" ht="12.75" hidden="1">
      <c r="A12" s="112"/>
      <c r="B12" s="115"/>
      <c r="C12" s="104"/>
      <c r="D12" s="108"/>
      <c r="E12" s="116"/>
      <c r="F12" s="106"/>
      <c r="G12" s="107"/>
      <c r="H12" s="108"/>
    </row>
    <row r="13" spans="1:8" ht="12.75" hidden="1">
      <c r="A13" s="109"/>
      <c r="B13" s="110"/>
      <c r="C13" s="104"/>
      <c r="D13" s="111"/>
      <c r="E13" s="116"/>
      <c r="F13" s="106"/>
      <c r="G13" s="107"/>
      <c r="H13" s="108"/>
    </row>
    <row r="14" spans="1:8" ht="12.75" hidden="1">
      <c r="A14" s="112"/>
      <c r="B14" s="115"/>
      <c r="C14" s="104"/>
      <c r="D14" s="108"/>
      <c r="E14" s="116"/>
      <c r="F14" s="106"/>
      <c r="G14" s="107"/>
      <c r="H14" s="108"/>
    </row>
    <row r="15" spans="1:8" ht="12.75" hidden="1">
      <c r="A15" s="112"/>
      <c r="B15" s="115"/>
      <c r="C15" s="104"/>
      <c r="D15" s="108"/>
      <c r="E15" s="116"/>
      <c r="F15" s="106"/>
      <c r="G15" s="107"/>
      <c r="H15" s="108"/>
    </row>
    <row r="16" spans="1:8" ht="12.75">
      <c r="A16" s="323"/>
      <c r="B16" s="123" t="s">
        <v>260</v>
      </c>
      <c r="C16" s="104"/>
      <c r="D16" s="108"/>
      <c r="E16" s="116"/>
      <c r="F16" s="106"/>
      <c r="G16" s="107"/>
      <c r="H16" s="108"/>
    </row>
    <row r="17" spans="1:8" ht="12.75">
      <c r="A17" s="324" t="s">
        <v>261</v>
      </c>
      <c r="B17" s="126" t="s">
        <v>262</v>
      </c>
      <c r="C17" s="104">
        <v>2010</v>
      </c>
      <c r="D17" s="108">
        <v>27415</v>
      </c>
      <c r="E17" s="116">
        <v>0</v>
      </c>
      <c r="F17" s="106">
        <f>+D17-E17</f>
        <v>27415</v>
      </c>
      <c r="G17" s="107">
        <f>+F17-H17</f>
        <v>15949.55</v>
      </c>
      <c r="H17" s="108">
        <v>11465.45</v>
      </c>
    </row>
    <row r="18" spans="1:8" ht="12.75">
      <c r="A18" s="323"/>
      <c r="B18" s="115"/>
      <c r="C18" s="104"/>
      <c r="D18" s="119">
        <f>SUM(D17)</f>
        <v>27415</v>
      </c>
      <c r="E18" s="133">
        <f>SUM(E17)</f>
        <v>0</v>
      </c>
      <c r="F18" s="164">
        <f>SUM(F17)</f>
        <v>27415</v>
      </c>
      <c r="G18" s="144">
        <f>SUM(G17)</f>
        <v>15949.55</v>
      </c>
      <c r="H18" s="119">
        <f>SUM(H17)</f>
        <v>11465.45</v>
      </c>
    </row>
    <row r="19" spans="1:8" ht="12.75">
      <c r="A19" s="117"/>
      <c r="B19" s="115"/>
      <c r="C19" s="104"/>
      <c r="D19" s="105"/>
      <c r="E19" s="105"/>
      <c r="F19" s="106"/>
      <c r="G19" s="107"/>
      <c r="H19" s="105"/>
    </row>
    <row r="20" spans="1:8" ht="12.75">
      <c r="A20" s="117"/>
      <c r="B20" s="123" t="s">
        <v>159</v>
      </c>
      <c r="C20" s="118"/>
      <c r="D20" s="119"/>
      <c r="E20" s="119"/>
      <c r="F20" s="164"/>
      <c r="G20" s="143"/>
      <c r="H20" s="122"/>
    </row>
    <row r="21" spans="1:8" ht="12.75" hidden="1">
      <c r="A21" s="117"/>
      <c r="B21" s="123"/>
      <c r="C21" s="118"/>
      <c r="D21" s="119"/>
      <c r="E21" s="119"/>
      <c r="F21" s="164"/>
      <c r="G21" s="144"/>
      <c r="H21" s="122"/>
    </row>
    <row r="22" spans="1:8" ht="12.75" hidden="1">
      <c r="A22" s="125"/>
      <c r="B22" s="126"/>
      <c r="C22" s="127"/>
      <c r="D22" s="193"/>
      <c r="E22" s="108"/>
      <c r="F22" s="106"/>
      <c r="G22" s="107"/>
      <c r="H22" s="131"/>
    </row>
    <row r="23" spans="1:8" ht="12.75" hidden="1">
      <c r="A23" s="125"/>
      <c r="B23" s="126"/>
      <c r="C23" s="118"/>
      <c r="D23" s="128"/>
      <c r="E23" s="128"/>
      <c r="F23" s="106"/>
      <c r="G23" s="107"/>
      <c r="H23" s="131"/>
    </row>
    <row r="24" spans="1:8" ht="12.75" hidden="1">
      <c r="A24" s="117"/>
      <c r="B24" s="123"/>
      <c r="C24" s="118"/>
      <c r="D24" s="119"/>
      <c r="E24" s="119"/>
      <c r="F24" s="164"/>
      <c r="G24" s="107"/>
      <c r="H24" s="119"/>
    </row>
    <row r="25" spans="1:8" ht="12.75">
      <c r="A25" s="322" t="s">
        <v>258</v>
      </c>
      <c r="B25" s="126" t="s">
        <v>259</v>
      </c>
      <c r="C25" s="118">
        <v>2010</v>
      </c>
      <c r="D25" s="108">
        <v>2584261</v>
      </c>
      <c r="E25" s="108">
        <v>2445352</v>
      </c>
      <c r="F25" s="106">
        <f>+D25-E25</f>
        <v>138909</v>
      </c>
      <c r="G25" s="107">
        <f>+F25-H25</f>
        <v>85295</v>
      </c>
      <c r="H25" s="108">
        <v>53614</v>
      </c>
    </row>
    <row r="26" spans="1:8" ht="12.75">
      <c r="A26" s="125" t="s">
        <v>207</v>
      </c>
      <c r="B26" s="126" t="s">
        <v>209</v>
      </c>
      <c r="C26" s="104">
        <v>2010</v>
      </c>
      <c r="D26" s="309">
        <v>1776795</v>
      </c>
      <c r="E26" s="309">
        <v>906527</v>
      </c>
      <c r="F26" s="106">
        <f>+D26-E26</f>
        <v>870268</v>
      </c>
      <c r="G26" s="107">
        <f>+F26-H26</f>
        <v>870268</v>
      </c>
      <c r="H26" s="108">
        <v>0</v>
      </c>
    </row>
    <row r="27" spans="1:8" ht="12.75">
      <c r="A27" s="125" t="s">
        <v>208</v>
      </c>
      <c r="B27" s="115" t="s">
        <v>210</v>
      </c>
      <c r="C27" s="104">
        <v>2010</v>
      </c>
      <c r="D27" s="309">
        <v>868000</v>
      </c>
      <c r="E27" s="312">
        <v>434000</v>
      </c>
      <c r="F27" s="106">
        <f>+D27-E27</f>
        <v>434000</v>
      </c>
      <c r="G27" s="107">
        <f>+F27-H27</f>
        <v>434000</v>
      </c>
      <c r="H27" s="108">
        <v>0</v>
      </c>
    </row>
    <row r="28" spans="1:8" ht="12.75">
      <c r="A28" s="117"/>
      <c r="B28" s="126"/>
      <c r="C28" s="104"/>
      <c r="D28" s="119">
        <f>SUM(D25:D27)</f>
        <v>5229056</v>
      </c>
      <c r="E28" s="119">
        <f>SUM(E25:E27)</f>
        <v>3785879</v>
      </c>
      <c r="F28" s="164">
        <f>SUM(F25:F27)</f>
        <v>1443177</v>
      </c>
      <c r="G28" s="144">
        <f>SUM(G25:G27)</f>
        <v>1389563</v>
      </c>
      <c r="H28" s="119">
        <f>SUM(H25:H27)</f>
        <v>53614</v>
      </c>
    </row>
    <row r="29" spans="1:8" ht="12.75">
      <c r="A29" s="117"/>
      <c r="B29" s="123"/>
      <c r="C29" s="104"/>
      <c r="D29" s="108"/>
      <c r="E29" s="116"/>
      <c r="F29" s="106"/>
      <c r="G29" s="107"/>
      <c r="H29" s="108"/>
    </row>
    <row r="30" spans="1:14" ht="12.75" hidden="1">
      <c r="A30" s="125"/>
      <c r="B30" s="126"/>
      <c r="C30" s="104"/>
      <c r="D30" s="194"/>
      <c r="E30" s="128"/>
      <c r="F30" s="165"/>
      <c r="G30" s="107"/>
      <c r="H30" s="195"/>
      <c r="I30" s="126"/>
      <c r="J30" s="104"/>
      <c r="K30" s="108"/>
      <c r="L30" s="128"/>
      <c r="M30" s="132"/>
      <c r="N30" s="130"/>
    </row>
    <row r="31" spans="1:14" ht="12.75" hidden="1">
      <c r="A31" s="125"/>
      <c r="B31" s="126"/>
      <c r="C31" s="104"/>
      <c r="D31" s="194"/>
      <c r="E31" s="128"/>
      <c r="F31" s="165"/>
      <c r="G31" s="107"/>
      <c r="H31" s="195"/>
      <c r="I31" s="126"/>
      <c r="J31" s="104"/>
      <c r="K31" s="108"/>
      <c r="L31" s="128"/>
      <c r="M31" s="132"/>
      <c r="N31" s="130"/>
    </row>
    <row r="32" spans="1:8" ht="12.75" hidden="1">
      <c r="A32" s="117"/>
      <c r="B32" s="115"/>
      <c r="C32" s="104"/>
      <c r="D32" s="119"/>
      <c r="E32" s="133"/>
      <c r="F32" s="164"/>
      <c r="G32" s="107"/>
      <c r="H32" s="122"/>
    </row>
    <row r="33" spans="1:8" ht="12.75" hidden="1">
      <c r="A33" s="117"/>
      <c r="B33" s="123"/>
      <c r="C33" s="118"/>
      <c r="D33" s="119"/>
      <c r="E33" s="119"/>
      <c r="F33" s="164"/>
      <c r="G33" s="143"/>
      <c r="H33" s="122"/>
    </row>
    <row r="34" spans="1:8" ht="12.75" hidden="1">
      <c r="A34" s="125"/>
      <c r="B34" s="126"/>
      <c r="C34" s="134"/>
      <c r="D34" s="108"/>
      <c r="E34" s="108"/>
      <c r="F34" s="165"/>
      <c r="G34" s="107"/>
      <c r="H34" s="108"/>
    </row>
    <row r="35" spans="1:8" ht="12.75" hidden="1">
      <c r="A35" s="125"/>
      <c r="B35" s="126"/>
      <c r="C35" s="118"/>
      <c r="D35" s="194"/>
      <c r="E35" s="108"/>
      <c r="F35" s="165"/>
      <c r="G35" s="107"/>
      <c r="H35" s="108"/>
    </row>
    <row r="36" spans="1:8" ht="12.75" hidden="1">
      <c r="A36" s="117"/>
      <c r="B36" s="123"/>
      <c r="C36" s="118"/>
      <c r="D36" s="119"/>
      <c r="E36" s="119"/>
      <c r="F36" s="164"/>
      <c r="G36" s="107"/>
      <c r="H36" s="119"/>
    </row>
    <row r="37" spans="1:8" ht="12.75">
      <c r="A37" s="117"/>
      <c r="B37" s="123" t="s">
        <v>160</v>
      </c>
      <c r="C37" s="104"/>
      <c r="D37" s="108"/>
      <c r="E37" s="108"/>
      <c r="F37" s="106"/>
      <c r="G37" s="107"/>
      <c r="H37" s="108"/>
    </row>
    <row r="38" spans="1:8" ht="12.75">
      <c r="A38" s="125" t="s">
        <v>161</v>
      </c>
      <c r="B38" s="126" t="s">
        <v>162</v>
      </c>
      <c r="C38" s="118">
        <v>2010</v>
      </c>
      <c r="D38" s="128">
        <v>200000</v>
      </c>
      <c r="E38" s="128">
        <v>57529</v>
      </c>
      <c r="F38" s="165">
        <f aca="true" t="shared" si="0" ref="F38:F46">+D38-E38</f>
        <v>142471</v>
      </c>
      <c r="G38" s="107">
        <f aca="true" t="shared" si="1" ref="G38:G46">+F38-H38</f>
        <v>124121</v>
      </c>
      <c r="H38" s="131">
        <v>18350</v>
      </c>
    </row>
    <row r="39" spans="1:8" ht="12.75">
      <c r="A39" s="125" t="s">
        <v>193</v>
      </c>
      <c r="B39" s="126" t="s">
        <v>163</v>
      </c>
      <c r="C39" s="118">
        <v>2008</v>
      </c>
      <c r="D39" s="128">
        <v>3000000</v>
      </c>
      <c r="E39" s="128">
        <v>2600744</v>
      </c>
      <c r="F39" s="165">
        <f t="shared" si="0"/>
        <v>399256</v>
      </c>
      <c r="G39" s="107">
        <f t="shared" si="1"/>
        <v>0.3699999999953434</v>
      </c>
      <c r="H39" s="131">
        <v>399255.63</v>
      </c>
    </row>
    <row r="40" spans="1:8" ht="12.75">
      <c r="A40" s="125" t="s">
        <v>164</v>
      </c>
      <c r="B40" s="126" t="s">
        <v>165</v>
      </c>
      <c r="C40" s="118">
        <v>2010</v>
      </c>
      <c r="D40" s="108">
        <v>1088487</v>
      </c>
      <c r="E40" s="105">
        <v>680733</v>
      </c>
      <c r="F40" s="165">
        <f t="shared" si="0"/>
        <v>407754</v>
      </c>
      <c r="G40" s="107">
        <f t="shared" si="1"/>
        <v>407754</v>
      </c>
      <c r="H40" s="131">
        <v>0</v>
      </c>
    </row>
    <row r="41" spans="1:8" ht="12.75">
      <c r="A41" s="301" t="s">
        <v>211</v>
      </c>
      <c r="B41" s="126" t="s">
        <v>212</v>
      </c>
      <c r="C41" s="118">
        <v>2010</v>
      </c>
      <c r="D41" s="128">
        <v>122000</v>
      </c>
      <c r="E41" s="128">
        <v>21294</v>
      </c>
      <c r="F41" s="165">
        <f t="shared" si="0"/>
        <v>100706</v>
      </c>
      <c r="G41" s="107">
        <f t="shared" si="1"/>
        <v>1966.8699999999953</v>
      </c>
      <c r="H41" s="128">
        <v>98739.13</v>
      </c>
    </row>
    <row r="42" spans="1:8" ht="12.75">
      <c r="A42" s="125" t="s">
        <v>213</v>
      </c>
      <c r="B42" s="126" t="s">
        <v>214</v>
      </c>
      <c r="C42" s="118">
        <v>2010</v>
      </c>
      <c r="D42" s="108">
        <v>750000</v>
      </c>
      <c r="E42" s="105">
        <v>4040</v>
      </c>
      <c r="F42" s="165">
        <f t="shared" si="0"/>
        <v>745960</v>
      </c>
      <c r="G42" s="107">
        <f t="shared" si="1"/>
        <v>144442.92000000004</v>
      </c>
      <c r="H42" s="105">
        <v>601517.08</v>
      </c>
    </row>
    <row r="43" spans="1:8" ht="12.75">
      <c r="A43" s="125" t="s">
        <v>215</v>
      </c>
      <c r="B43" s="126" t="s">
        <v>216</v>
      </c>
      <c r="C43" s="118">
        <v>2010</v>
      </c>
      <c r="D43" s="108">
        <v>800000</v>
      </c>
      <c r="E43" s="105">
        <v>0</v>
      </c>
      <c r="F43" s="165">
        <f t="shared" si="0"/>
        <v>800000</v>
      </c>
      <c r="G43" s="107">
        <f t="shared" si="1"/>
        <v>0</v>
      </c>
      <c r="H43" s="105">
        <v>800000</v>
      </c>
    </row>
    <row r="44" spans="1:8" ht="12.75">
      <c r="A44" s="125" t="s">
        <v>217</v>
      </c>
      <c r="B44" s="126" t="s">
        <v>218</v>
      </c>
      <c r="C44" s="118">
        <v>2010</v>
      </c>
      <c r="D44" s="108">
        <v>1050000</v>
      </c>
      <c r="E44" s="105">
        <v>171311</v>
      </c>
      <c r="F44" s="165">
        <f t="shared" si="0"/>
        <v>878689</v>
      </c>
      <c r="G44" s="107">
        <f t="shared" si="1"/>
        <v>565393.4</v>
      </c>
      <c r="H44" s="105">
        <v>313295.6</v>
      </c>
    </row>
    <row r="45" spans="1:8" ht="12.75">
      <c r="A45" s="125" t="s">
        <v>219</v>
      </c>
      <c r="B45" s="126" t="s">
        <v>220</v>
      </c>
      <c r="C45" s="118" t="s">
        <v>221</v>
      </c>
      <c r="D45" s="108">
        <v>750000</v>
      </c>
      <c r="E45" s="105">
        <v>0</v>
      </c>
      <c r="F45" s="165">
        <f t="shared" si="0"/>
        <v>750000</v>
      </c>
      <c r="G45" s="107">
        <f t="shared" si="1"/>
        <v>334927.49</v>
      </c>
      <c r="H45" s="105">
        <v>415072.51</v>
      </c>
    </row>
    <row r="46" spans="1:8" ht="12.75">
      <c r="A46" s="125" t="s">
        <v>222</v>
      </c>
      <c r="B46" s="126" t="s">
        <v>223</v>
      </c>
      <c r="C46" s="118" t="s">
        <v>196</v>
      </c>
      <c r="D46" s="108">
        <v>350000</v>
      </c>
      <c r="E46" s="105">
        <v>0</v>
      </c>
      <c r="F46" s="165">
        <f t="shared" si="0"/>
        <v>350000</v>
      </c>
      <c r="G46" s="107">
        <f t="shared" si="1"/>
        <v>56699.59999999998</v>
      </c>
      <c r="H46" s="105">
        <v>293300.4</v>
      </c>
    </row>
    <row r="47" spans="1:8" ht="12.75">
      <c r="A47" s="125"/>
      <c r="B47" s="126"/>
      <c r="C47" s="118"/>
      <c r="D47" s="119">
        <f>SUM(D38:D46)</f>
        <v>8110487</v>
      </c>
      <c r="E47" s="140">
        <f>SUM(E38:E46)</f>
        <v>3535651</v>
      </c>
      <c r="F47" s="164">
        <f>SUM(F38:F46)</f>
        <v>4574836</v>
      </c>
      <c r="G47" s="144">
        <f>SUM(G38:G46)</f>
        <v>1635305.65</v>
      </c>
      <c r="H47" s="140">
        <f>SUM(H38:H46)</f>
        <v>2939530.35</v>
      </c>
    </row>
    <row r="48" spans="1:8" ht="12.75">
      <c r="A48" s="125"/>
      <c r="B48" s="123" t="s">
        <v>263</v>
      </c>
      <c r="C48" s="118"/>
      <c r="D48" s="108"/>
      <c r="E48" s="105"/>
      <c r="F48" s="165"/>
      <c r="G48" s="107"/>
      <c r="H48" s="105"/>
    </row>
    <row r="49" spans="1:8" ht="12.75">
      <c r="A49" s="125"/>
      <c r="B49" s="126"/>
      <c r="C49" s="118"/>
      <c r="D49" s="108"/>
      <c r="E49" s="105"/>
      <c r="F49" s="165"/>
      <c r="G49" s="107"/>
      <c r="H49" s="105"/>
    </row>
    <row r="50" spans="1:8" ht="12.75">
      <c r="A50" s="125" t="s">
        <v>264</v>
      </c>
      <c r="B50" s="126" t="s">
        <v>265</v>
      </c>
      <c r="C50" s="118">
        <v>2010</v>
      </c>
      <c r="D50" s="108">
        <v>2100000</v>
      </c>
      <c r="E50" s="105">
        <v>0</v>
      </c>
      <c r="F50" s="165">
        <f>+D50-E50</f>
        <v>2100000</v>
      </c>
      <c r="G50" s="107">
        <f>+F50-H50</f>
        <v>3261.9199999999255</v>
      </c>
      <c r="H50" s="105">
        <v>2096738.08</v>
      </c>
    </row>
    <row r="51" spans="1:8" ht="12.75">
      <c r="A51" s="125"/>
      <c r="B51" s="126"/>
      <c r="C51" s="118"/>
      <c r="D51" s="119">
        <f>SUM(D50)</f>
        <v>2100000</v>
      </c>
      <c r="E51" s="140">
        <f>SUM(E50)</f>
        <v>0</v>
      </c>
      <c r="F51" s="164">
        <f>SUM(F50)</f>
        <v>2100000</v>
      </c>
      <c r="G51" s="144">
        <f>SUM(G50)</f>
        <v>3261.9199999999255</v>
      </c>
      <c r="H51" s="140">
        <f>SUM(H50)</f>
        <v>2096738.08</v>
      </c>
    </row>
    <row r="52" spans="1:8" ht="12.75" hidden="1">
      <c r="A52" s="125"/>
      <c r="B52" s="123"/>
      <c r="C52" s="118"/>
      <c r="D52" s="108"/>
      <c r="E52" s="105"/>
      <c r="F52" s="165"/>
      <c r="G52" s="107"/>
      <c r="H52" s="105"/>
    </row>
    <row r="53" spans="1:8" ht="12.75" hidden="1">
      <c r="A53" s="125"/>
      <c r="B53" s="237"/>
      <c r="C53" s="238"/>
      <c r="D53" s="108"/>
      <c r="E53" s="105"/>
      <c r="F53" s="165"/>
      <c r="G53" s="107"/>
      <c r="H53" s="105"/>
    </row>
    <row r="54" spans="1:8" ht="12.75" hidden="1">
      <c r="A54" s="117"/>
      <c r="B54" s="115"/>
      <c r="C54" s="118"/>
      <c r="D54" s="119"/>
      <c r="E54" s="140"/>
      <c r="F54" s="164"/>
      <c r="G54" s="107"/>
      <c r="H54" s="119"/>
    </row>
    <row r="55" spans="1:8" ht="12.75">
      <c r="A55" s="117"/>
      <c r="B55" s="123" t="s">
        <v>166</v>
      </c>
      <c r="C55" s="118"/>
      <c r="D55" s="108"/>
      <c r="E55" s="105"/>
      <c r="F55" s="106"/>
      <c r="G55" s="107"/>
      <c r="H55" s="108"/>
    </row>
    <row r="56" spans="1:8" ht="12.75" hidden="1">
      <c r="A56" s="125"/>
      <c r="B56" s="126"/>
      <c r="C56" s="104"/>
      <c r="D56" s="108"/>
      <c r="E56" s="114"/>
      <c r="F56" s="165"/>
      <c r="G56" s="107"/>
      <c r="H56" s="136"/>
    </row>
    <row r="57" spans="1:8" ht="12.75">
      <c r="A57" s="125" t="s">
        <v>194</v>
      </c>
      <c r="B57" s="126" t="s">
        <v>195</v>
      </c>
      <c r="C57" s="104" t="s">
        <v>192</v>
      </c>
      <c r="D57" s="108">
        <v>750900</v>
      </c>
      <c r="E57" s="114">
        <v>292876</v>
      </c>
      <c r="F57" s="165">
        <f>+D57-E57</f>
        <v>458024</v>
      </c>
      <c r="G57" s="107">
        <f>+F57-H57</f>
        <v>458024</v>
      </c>
      <c r="H57" s="136">
        <v>0</v>
      </c>
    </row>
    <row r="58" spans="1:8" ht="12.75">
      <c r="A58" s="125" t="s">
        <v>224</v>
      </c>
      <c r="B58" s="126" t="s">
        <v>225</v>
      </c>
      <c r="C58" s="104">
        <v>2010</v>
      </c>
      <c r="D58" s="108">
        <v>650000</v>
      </c>
      <c r="E58" s="114">
        <v>12320</v>
      </c>
      <c r="F58" s="165">
        <f>+D58-E58</f>
        <v>637680</v>
      </c>
      <c r="G58" s="107">
        <f>+F58-H58</f>
        <v>227660</v>
      </c>
      <c r="H58" s="138">
        <v>410020</v>
      </c>
    </row>
    <row r="59" spans="1:8" ht="12.75">
      <c r="A59" s="125"/>
      <c r="B59" s="126"/>
      <c r="C59" s="104"/>
      <c r="D59" s="119">
        <f>SUM(D56:D58)</f>
        <v>1400900</v>
      </c>
      <c r="E59" s="140">
        <f>SUM(E56:E58)</f>
        <v>305196</v>
      </c>
      <c r="F59" s="164">
        <f>SUM(F56:F58)</f>
        <v>1095704</v>
      </c>
      <c r="G59" s="144">
        <f>SUM(G57:G58)</f>
        <v>685684</v>
      </c>
      <c r="H59" s="122">
        <f>SUM(H56:H58)</f>
        <v>410020</v>
      </c>
    </row>
    <row r="60" spans="1:8" ht="12.75">
      <c r="A60" s="117"/>
      <c r="B60" s="123" t="s">
        <v>167</v>
      </c>
      <c r="C60" s="104"/>
      <c r="D60" s="108"/>
      <c r="E60" s="114"/>
      <c r="F60" s="120"/>
      <c r="G60" s="130"/>
      <c r="H60" s="137"/>
    </row>
    <row r="61" spans="1:8" ht="12.75">
      <c r="A61" s="125" t="s">
        <v>168</v>
      </c>
      <c r="B61" s="126" t="s">
        <v>169</v>
      </c>
      <c r="C61" s="239">
        <v>2010</v>
      </c>
      <c r="D61" s="108">
        <v>917348</v>
      </c>
      <c r="E61" s="114">
        <v>589550</v>
      </c>
      <c r="F61" s="132">
        <f>+D61-E61</f>
        <v>327798</v>
      </c>
      <c r="G61" s="130">
        <f>+F61-H61</f>
        <v>327798</v>
      </c>
      <c r="H61" s="137">
        <v>0</v>
      </c>
    </row>
    <row r="62" spans="1:8" ht="12.75" hidden="1">
      <c r="A62" s="125"/>
      <c r="B62" s="135"/>
      <c r="C62" s="104"/>
      <c r="D62" s="108"/>
      <c r="E62" s="114"/>
      <c r="F62" s="163"/>
      <c r="G62" s="162"/>
      <c r="H62" s="166"/>
    </row>
    <row r="63" spans="1:9" ht="12.75">
      <c r="A63" s="125" t="s">
        <v>170</v>
      </c>
      <c r="B63" s="313" t="s">
        <v>240</v>
      </c>
      <c r="C63" s="104">
        <v>2010</v>
      </c>
      <c r="D63" s="108">
        <v>714550</v>
      </c>
      <c r="E63" s="114">
        <v>714550</v>
      </c>
      <c r="F63" s="306">
        <f aca="true" t="shared" si="2" ref="F63:F70">+D63-E63</f>
        <v>0</v>
      </c>
      <c r="G63" s="307">
        <f aca="true" t="shared" si="3" ref="G63:G70">+F63-H63</f>
        <v>0</v>
      </c>
      <c r="H63" s="310">
        <v>0</v>
      </c>
      <c r="I63" s="311"/>
    </row>
    <row r="64" spans="1:9" ht="12.75">
      <c r="A64" s="125" t="s">
        <v>239</v>
      </c>
      <c r="B64" s="126" t="s">
        <v>241</v>
      </c>
      <c r="C64" s="104">
        <v>2010</v>
      </c>
      <c r="D64" s="108">
        <v>600000</v>
      </c>
      <c r="E64" s="114">
        <v>238090</v>
      </c>
      <c r="F64" s="306">
        <f t="shared" si="2"/>
        <v>361910</v>
      </c>
      <c r="G64" s="307">
        <f t="shared" si="3"/>
        <v>361910</v>
      </c>
      <c r="H64" s="310">
        <v>0</v>
      </c>
      <c r="I64" s="311"/>
    </row>
    <row r="65" spans="1:9" ht="12.75">
      <c r="A65" s="125" t="s">
        <v>226</v>
      </c>
      <c r="B65" s="126" t="s">
        <v>227</v>
      </c>
      <c r="C65" s="104">
        <v>2010</v>
      </c>
      <c r="D65" s="309">
        <v>20000</v>
      </c>
      <c r="E65" s="114">
        <v>0</v>
      </c>
      <c r="F65" s="306">
        <f t="shared" si="2"/>
        <v>20000</v>
      </c>
      <c r="G65" s="307">
        <f t="shared" si="3"/>
        <v>20000</v>
      </c>
      <c r="H65" s="310">
        <v>0</v>
      </c>
      <c r="I65" s="311"/>
    </row>
    <row r="66" spans="1:9" ht="12.75">
      <c r="A66" s="125" t="s">
        <v>228</v>
      </c>
      <c r="B66" s="126" t="s">
        <v>233</v>
      </c>
      <c r="C66" s="104">
        <v>2010</v>
      </c>
      <c r="D66" s="309">
        <v>140663</v>
      </c>
      <c r="E66" s="114">
        <v>90664</v>
      </c>
      <c r="F66" s="306">
        <f t="shared" si="2"/>
        <v>49999</v>
      </c>
      <c r="G66" s="307">
        <f t="shared" si="3"/>
        <v>49999</v>
      </c>
      <c r="H66" s="310">
        <v>0</v>
      </c>
      <c r="I66" s="311"/>
    </row>
    <row r="67" spans="1:9" ht="12.75">
      <c r="A67" s="125" t="s">
        <v>229</v>
      </c>
      <c r="B67" s="126" t="s">
        <v>234</v>
      </c>
      <c r="C67" s="104">
        <v>2010</v>
      </c>
      <c r="D67" s="309">
        <v>100000</v>
      </c>
      <c r="E67" s="114">
        <v>0</v>
      </c>
      <c r="F67" s="306">
        <f t="shared" si="2"/>
        <v>100000</v>
      </c>
      <c r="G67" s="307">
        <f t="shared" si="3"/>
        <v>63120</v>
      </c>
      <c r="H67" s="310">
        <v>36880</v>
      </c>
      <c r="I67" s="311"/>
    </row>
    <row r="68" spans="1:9" ht="12.75">
      <c r="A68" s="125" t="s">
        <v>230</v>
      </c>
      <c r="B68" s="126" t="s">
        <v>235</v>
      </c>
      <c r="C68" s="104">
        <v>2010</v>
      </c>
      <c r="D68" s="309">
        <v>150000</v>
      </c>
      <c r="E68" s="114">
        <v>42168</v>
      </c>
      <c r="F68" s="306">
        <f t="shared" si="2"/>
        <v>107832</v>
      </c>
      <c r="G68" s="307">
        <f t="shared" si="3"/>
        <v>32728</v>
      </c>
      <c r="H68" s="310">
        <v>75104</v>
      </c>
      <c r="I68" s="311"/>
    </row>
    <row r="69" spans="1:9" ht="12.75">
      <c r="A69" s="125" t="s">
        <v>231</v>
      </c>
      <c r="B69" s="126" t="s">
        <v>236</v>
      </c>
      <c r="C69" s="104">
        <v>2010</v>
      </c>
      <c r="D69" s="309">
        <v>207600</v>
      </c>
      <c r="E69" s="114">
        <v>0</v>
      </c>
      <c r="F69" s="306">
        <f t="shared" si="2"/>
        <v>207600</v>
      </c>
      <c r="G69" s="307">
        <f t="shared" si="3"/>
        <v>0</v>
      </c>
      <c r="H69" s="310">
        <v>207600</v>
      </c>
      <c r="I69" s="311"/>
    </row>
    <row r="70" spans="1:9" ht="12.75">
      <c r="A70" s="125" t="s">
        <v>232</v>
      </c>
      <c r="B70" s="126" t="s">
        <v>237</v>
      </c>
      <c r="C70" s="104" t="s">
        <v>238</v>
      </c>
      <c r="D70" s="309">
        <v>351340</v>
      </c>
      <c r="E70" s="114">
        <v>0</v>
      </c>
      <c r="F70" s="306">
        <f t="shared" si="2"/>
        <v>351340</v>
      </c>
      <c r="G70" s="307">
        <f t="shared" si="3"/>
        <v>0</v>
      </c>
      <c r="H70" s="310">
        <v>351340</v>
      </c>
      <c r="I70" s="311"/>
    </row>
    <row r="71" spans="1:8" ht="12.75">
      <c r="A71" s="117"/>
      <c r="B71" s="115"/>
      <c r="C71" s="104"/>
      <c r="D71" s="119">
        <f>SUM(D61:D70)</f>
        <v>3201501</v>
      </c>
      <c r="E71" s="140">
        <f>SUM(E61:E70)</f>
        <v>1675022</v>
      </c>
      <c r="F71" s="120">
        <f>SUM(F61:F70)</f>
        <v>1526479</v>
      </c>
      <c r="G71" s="124">
        <f>SUM(G61:G70)</f>
        <v>855555</v>
      </c>
      <c r="H71" s="122">
        <f>SUM(H61:H70)</f>
        <v>670924</v>
      </c>
    </row>
    <row r="72" spans="1:8" ht="12.75">
      <c r="A72" s="117"/>
      <c r="B72" s="123" t="s">
        <v>171</v>
      </c>
      <c r="C72" s="104"/>
      <c r="D72" s="108"/>
      <c r="E72" s="114"/>
      <c r="F72" s="132"/>
      <c r="G72" s="130"/>
      <c r="H72" s="137"/>
    </row>
    <row r="73" spans="1:8" ht="12.75">
      <c r="A73" s="125" t="s">
        <v>172</v>
      </c>
      <c r="B73" s="126" t="s">
        <v>173</v>
      </c>
      <c r="C73" s="104">
        <v>2010</v>
      </c>
      <c r="D73" s="108">
        <v>1000000</v>
      </c>
      <c r="E73" s="114">
        <v>433105</v>
      </c>
      <c r="F73" s="132">
        <f aca="true" t="shared" si="4" ref="F73:F82">+D73-E73</f>
        <v>566895</v>
      </c>
      <c r="G73" s="130">
        <f aca="true" t="shared" si="5" ref="G73:G82">+F73-H73</f>
        <v>134256</v>
      </c>
      <c r="H73" s="137">
        <v>432639</v>
      </c>
    </row>
    <row r="74" spans="1:8" ht="12.75" hidden="1">
      <c r="A74" s="125"/>
      <c r="B74" s="126"/>
      <c r="C74" s="104"/>
      <c r="D74" s="108"/>
      <c r="E74" s="114"/>
      <c r="F74" s="132"/>
      <c r="G74" s="130"/>
      <c r="H74" s="137"/>
    </row>
    <row r="75" spans="1:8" ht="12.75" hidden="1">
      <c r="A75" s="125"/>
      <c r="B75" s="126"/>
      <c r="C75" s="118"/>
      <c r="D75" s="128"/>
      <c r="E75" s="114"/>
      <c r="F75" s="132"/>
      <c r="G75" s="130"/>
      <c r="H75" s="131"/>
    </row>
    <row r="76" spans="1:8" ht="12.75">
      <c r="A76" s="125" t="s">
        <v>174</v>
      </c>
      <c r="B76" s="126" t="s">
        <v>242</v>
      </c>
      <c r="C76" s="118">
        <v>2010</v>
      </c>
      <c r="D76" s="305">
        <v>500000</v>
      </c>
      <c r="E76" s="114">
        <v>376663</v>
      </c>
      <c r="F76" s="132">
        <f t="shared" si="4"/>
        <v>123337</v>
      </c>
      <c r="G76" s="130">
        <f t="shared" si="5"/>
        <v>60093.42</v>
      </c>
      <c r="H76" s="138">
        <v>63243.58</v>
      </c>
    </row>
    <row r="77" spans="1:8" ht="12.75" hidden="1">
      <c r="A77" s="125"/>
      <c r="B77" s="126"/>
      <c r="C77" s="118"/>
      <c r="D77" s="128"/>
      <c r="E77" s="128"/>
      <c r="F77" s="132"/>
      <c r="G77" s="130"/>
      <c r="H77" s="131"/>
    </row>
    <row r="78" spans="1:8" ht="12.75" hidden="1">
      <c r="A78" s="167"/>
      <c r="B78" s="168"/>
      <c r="C78" s="169"/>
      <c r="D78" s="170"/>
      <c r="E78" s="170"/>
      <c r="F78" s="163"/>
      <c r="G78" s="162"/>
      <c r="H78" s="171"/>
    </row>
    <row r="79" spans="1:8" ht="12.75">
      <c r="A79" s="302" t="s">
        <v>181</v>
      </c>
      <c r="B79" s="303" t="s">
        <v>182</v>
      </c>
      <c r="C79" s="304">
        <v>2010</v>
      </c>
      <c r="D79" s="305">
        <v>200000</v>
      </c>
      <c r="E79" s="305">
        <v>0</v>
      </c>
      <c r="F79" s="306">
        <f t="shared" si="4"/>
        <v>200000</v>
      </c>
      <c r="G79" s="307">
        <f t="shared" si="5"/>
        <v>13305.600000000006</v>
      </c>
      <c r="H79" s="308">
        <v>186694.4</v>
      </c>
    </row>
    <row r="80" spans="1:8" ht="12.75">
      <c r="A80" s="302" t="s">
        <v>243</v>
      </c>
      <c r="B80" s="303" t="s">
        <v>246</v>
      </c>
      <c r="C80" s="304">
        <v>2010</v>
      </c>
      <c r="D80" s="305">
        <v>467205</v>
      </c>
      <c r="E80" s="305">
        <v>467204</v>
      </c>
      <c r="F80" s="306">
        <f t="shared" si="4"/>
        <v>1</v>
      </c>
      <c r="G80" s="307">
        <f t="shared" si="5"/>
        <v>1</v>
      </c>
      <c r="H80" s="308">
        <v>0</v>
      </c>
    </row>
    <row r="81" spans="1:8" ht="25.5">
      <c r="A81" s="302" t="s">
        <v>244</v>
      </c>
      <c r="B81" s="314" t="s">
        <v>247</v>
      </c>
      <c r="C81" s="304">
        <v>2010</v>
      </c>
      <c r="D81" s="305">
        <v>260000</v>
      </c>
      <c r="E81" s="305">
        <v>123700</v>
      </c>
      <c r="F81" s="306">
        <f t="shared" si="4"/>
        <v>136300</v>
      </c>
      <c r="G81" s="307">
        <f t="shared" si="5"/>
        <v>83848</v>
      </c>
      <c r="H81" s="308">
        <v>52452</v>
      </c>
    </row>
    <row r="82" spans="1:8" ht="12.75">
      <c r="A82" s="302" t="s">
        <v>245</v>
      </c>
      <c r="B82" s="303" t="s">
        <v>248</v>
      </c>
      <c r="C82" s="304">
        <v>2010</v>
      </c>
      <c r="D82" s="305">
        <v>300000</v>
      </c>
      <c r="E82" s="305">
        <v>0</v>
      </c>
      <c r="F82" s="306">
        <f t="shared" si="4"/>
        <v>300000</v>
      </c>
      <c r="G82" s="307">
        <f t="shared" si="5"/>
        <v>0</v>
      </c>
      <c r="H82" s="308">
        <v>300000</v>
      </c>
    </row>
    <row r="83" spans="1:8" ht="12.75">
      <c r="A83" s="117"/>
      <c r="B83" s="123"/>
      <c r="C83" s="118"/>
      <c r="D83" s="119">
        <f>SUM(D73:D82)</f>
        <v>2727205</v>
      </c>
      <c r="E83" s="119">
        <f>SUM(E73:E82)</f>
        <v>1400672</v>
      </c>
      <c r="F83" s="120">
        <f>SUM(F73:F82)</f>
        <v>1326533</v>
      </c>
      <c r="G83" s="124">
        <f>SUM(G73:G82)</f>
        <v>291504.02</v>
      </c>
      <c r="H83" s="122">
        <f>SUM(H73:H82)</f>
        <v>1035028.98</v>
      </c>
    </row>
    <row r="84" spans="1:8" ht="12.75">
      <c r="A84" s="125"/>
      <c r="B84" s="123" t="s">
        <v>175</v>
      </c>
      <c r="C84" s="104"/>
      <c r="D84" s="128"/>
      <c r="E84" s="128"/>
      <c r="F84" s="132"/>
      <c r="G84" s="130"/>
      <c r="H84" s="128"/>
    </row>
    <row r="85" spans="1:8" ht="12.75">
      <c r="A85" s="125" t="s">
        <v>176</v>
      </c>
      <c r="B85" s="126" t="s">
        <v>177</v>
      </c>
      <c r="C85" s="104">
        <v>2010</v>
      </c>
      <c r="D85" s="128">
        <v>800000</v>
      </c>
      <c r="E85" s="128">
        <v>477586</v>
      </c>
      <c r="F85" s="132">
        <f>+D85-E85</f>
        <v>322414</v>
      </c>
      <c r="G85" s="130">
        <f>+F85-H85</f>
        <v>113806</v>
      </c>
      <c r="H85" s="131">
        <v>208608</v>
      </c>
    </row>
    <row r="86" spans="1:8" ht="12.75">
      <c r="A86" s="117"/>
      <c r="B86" s="115"/>
      <c r="C86" s="118"/>
      <c r="D86" s="119">
        <f>SUM(D85)</f>
        <v>800000</v>
      </c>
      <c r="E86" s="119">
        <f>SUM(E85)</f>
        <v>477586</v>
      </c>
      <c r="F86" s="120">
        <f>SUM(F85)</f>
        <v>322414</v>
      </c>
      <c r="G86" s="121">
        <f>SUM(G85)</f>
        <v>113806</v>
      </c>
      <c r="H86" s="122">
        <f>SUM(H85)</f>
        <v>208608</v>
      </c>
    </row>
    <row r="87" spans="1:8" ht="12.75">
      <c r="A87" s="117"/>
      <c r="B87" s="115"/>
      <c r="C87" s="118"/>
      <c r="D87" s="108"/>
      <c r="E87" s="108"/>
      <c r="F87" s="129"/>
      <c r="G87" s="130"/>
      <c r="H87" s="108"/>
    </row>
    <row r="88" spans="1:8" ht="12.75">
      <c r="A88" s="117"/>
      <c r="B88" s="115" t="s">
        <v>283</v>
      </c>
      <c r="C88" s="118"/>
      <c r="D88" s="119">
        <v>64660</v>
      </c>
      <c r="E88" s="128">
        <v>0</v>
      </c>
      <c r="F88" s="120">
        <v>64660</v>
      </c>
      <c r="G88" s="130">
        <f>+F88-H88</f>
        <v>0</v>
      </c>
      <c r="H88" s="119">
        <v>64660</v>
      </c>
    </row>
    <row r="89" spans="1:8" ht="12.75">
      <c r="A89" s="117"/>
      <c r="B89" s="115"/>
      <c r="C89" s="118"/>
      <c r="D89" s="119"/>
      <c r="E89" s="108"/>
      <c r="F89" s="132"/>
      <c r="G89" s="114"/>
      <c r="H89" s="108"/>
    </row>
    <row r="90" spans="1:8" ht="12.75">
      <c r="A90" s="117"/>
      <c r="B90" s="115"/>
      <c r="C90" s="104"/>
      <c r="D90" s="108"/>
      <c r="E90" s="108"/>
      <c r="F90" s="129"/>
      <c r="G90" s="130"/>
      <c r="H90" s="108"/>
    </row>
    <row r="91" spans="1:8" ht="12.75">
      <c r="A91" s="109"/>
      <c r="B91" s="110"/>
      <c r="C91" s="104"/>
      <c r="D91" s="105"/>
      <c r="E91" s="114"/>
      <c r="F91" s="129"/>
      <c r="G91" s="130"/>
      <c r="H91" s="108"/>
    </row>
    <row r="92" spans="1:8" ht="12.75">
      <c r="A92" s="109"/>
      <c r="B92" s="110"/>
      <c r="C92" s="104"/>
      <c r="D92" s="105"/>
      <c r="E92" s="114"/>
      <c r="F92" s="129"/>
      <c r="G92" s="130"/>
      <c r="H92" s="108"/>
    </row>
    <row r="93" spans="1:8" ht="12.75">
      <c r="A93" s="117"/>
      <c r="B93" s="115"/>
      <c r="C93" s="104"/>
      <c r="D93" s="108"/>
      <c r="E93" s="116"/>
      <c r="F93" s="129"/>
      <c r="G93" s="130"/>
      <c r="H93" s="108"/>
    </row>
    <row r="94" spans="1:8" ht="12.75">
      <c r="A94" s="117"/>
      <c r="B94" s="115"/>
      <c r="C94" s="104"/>
      <c r="D94" s="108"/>
      <c r="E94" s="116"/>
      <c r="F94" s="129"/>
      <c r="G94" s="130"/>
      <c r="H94" s="108"/>
    </row>
    <row r="95" spans="1:8" ht="12.75">
      <c r="A95" s="109"/>
      <c r="B95" s="110"/>
      <c r="C95" s="104"/>
      <c r="D95" s="105"/>
      <c r="E95" s="139"/>
      <c r="F95" s="129"/>
      <c r="G95" s="130"/>
      <c r="H95" s="108"/>
    </row>
    <row r="96" spans="1:8" ht="12.75">
      <c r="A96" s="102"/>
      <c r="B96" s="113"/>
      <c r="C96" s="104"/>
      <c r="D96" s="105"/>
      <c r="E96" s="139"/>
      <c r="F96" s="129"/>
      <c r="G96" s="130"/>
      <c r="H96" s="108"/>
    </row>
    <row r="97" spans="1:8" ht="12.75">
      <c r="A97" s="109"/>
      <c r="B97" s="110"/>
      <c r="C97" s="104"/>
      <c r="D97" s="105"/>
      <c r="E97" s="139"/>
      <c r="F97" s="129"/>
      <c r="G97" s="130"/>
      <c r="H97" s="137"/>
    </row>
    <row r="98" spans="1:8" ht="12.75">
      <c r="A98" s="109"/>
      <c r="B98" s="110"/>
      <c r="C98" s="104"/>
      <c r="D98" s="105"/>
      <c r="E98" s="139"/>
      <c r="F98" s="129"/>
      <c r="G98" s="130"/>
      <c r="H98" s="137"/>
    </row>
    <row r="99" spans="1:8" ht="12.75">
      <c r="A99" s="102"/>
      <c r="B99" s="113"/>
      <c r="C99" s="118"/>
      <c r="D99" s="140"/>
      <c r="E99" s="141"/>
      <c r="F99" s="142"/>
      <c r="G99" s="143"/>
      <c r="H99" s="122"/>
    </row>
    <row r="100" spans="1:8" ht="12.75">
      <c r="A100" s="102"/>
      <c r="B100" s="113"/>
      <c r="C100" s="118"/>
      <c r="D100" s="140"/>
      <c r="E100" s="141"/>
      <c r="F100" s="142"/>
      <c r="G100" s="144"/>
      <c r="H100" s="122"/>
    </row>
    <row r="101" spans="1:8" ht="12.75">
      <c r="A101" s="102"/>
      <c r="B101" s="113"/>
      <c r="C101" s="118"/>
      <c r="D101" s="105"/>
      <c r="E101" s="139"/>
      <c r="F101" s="145"/>
      <c r="G101" s="107"/>
      <c r="H101" s="108"/>
    </row>
    <row r="102" spans="1:8" ht="12.75">
      <c r="A102" s="117"/>
      <c r="B102" s="113"/>
      <c r="C102" s="118"/>
      <c r="D102" s="108"/>
      <c r="E102" s="108"/>
      <c r="F102" s="129"/>
      <c r="G102" s="130"/>
      <c r="H102" s="108"/>
    </row>
    <row r="103" spans="1:8" ht="15.75">
      <c r="A103" s="146"/>
      <c r="B103" s="123"/>
      <c r="C103" s="147"/>
      <c r="D103" s="148">
        <f>SUM(D18+D28+D47+D51+D59+D71+D83+D86)</f>
        <v>23596564</v>
      </c>
      <c r="E103" s="148">
        <f>SUM(E18+E28+E47+E51+E59+E71+E83+E86)</f>
        <v>11180006</v>
      </c>
      <c r="F103" s="149">
        <f>+F18+F28+F47+F51+F59+F71+F83+F86</f>
        <v>12416558</v>
      </c>
      <c r="G103" s="150">
        <f>+G18+G28+G47+G51+G59+G71+G83+G86</f>
        <v>4990629.140000001</v>
      </c>
      <c r="H103" s="148">
        <f>SUM(H18+H28+H47+H51+H59+H71+H83+H86+H88)</f>
        <v>7490588.860000001</v>
      </c>
    </row>
    <row r="104" spans="1:8" ht="12.75">
      <c r="A104" s="93"/>
      <c r="B104" s="97"/>
      <c r="C104" s="93"/>
      <c r="D104" s="97"/>
      <c r="E104" s="97"/>
      <c r="F104" s="97"/>
      <c r="G104" s="99"/>
      <c r="H104" s="97"/>
    </row>
    <row r="105" spans="1:8" ht="12.75">
      <c r="A105" s="93"/>
      <c r="B105" s="97"/>
      <c r="C105" s="93"/>
      <c r="D105" s="97"/>
      <c r="E105" s="97"/>
      <c r="F105" s="93"/>
      <c r="G105" s="99"/>
      <c r="H105" s="151">
        <f>SUM(G103:H103)</f>
        <v>12481218.000000002</v>
      </c>
    </row>
    <row r="106" spans="1:8" ht="12.75">
      <c r="A106" s="93"/>
      <c r="B106" s="97"/>
      <c r="C106" s="93"/>
      <c r="D106" s="97"/>
      <c r="E106" s="97"/>
      <c r="F106" s="93"/>
      <c r="G106" s="99"/>
      <c r="H106" s="97"/>
    </row>
    <row r="107" spans="1:8" ht="12.75">
      <c r="A107" s="93"/>
      <c r="B107" s="152"/>
      <c r="C107" s="153"/>
      <c r="D107" s="154"/>
      <c r="E107" s="97"/>
      <c r="F107" s="155" t="s">
        <v>8</v>
      </c>
      <c r="G107" s="99"/>
      <c r="H107" s="97"/>
    </row>
    <row r="108" spans="1:8" ht="12.75">
      <c r="A108" s="93"/>
      <c r="B108" s="97"/>
      <c r="C108" s="93"/>
      <c r="D108" s="156"/>
      <c r="E108" s="97"/>
      <c r="F108" s="93"/>
      <c r="G108" s="99"/>
      <c r="H108" s="97"/>
    </row>
    <row r="109" spans="1:8" ht="12.75">
      <c r="A109" s="93"/>
      <c r="B109" s="157"/>
      <c r="C109" s="93"/>
      <c r="D109" s="156"/>
      <c r="E109" s="156"/>
      <c r="F109" s="158"/>
      <c r="G109" s="99"/>
      <c r="H109" s="97"/>
    </row>
    <row r="110" spans="1:8" ht="12.75">
      <c r="A110" s="93"/>
      <c r="B110" s="157"/>
      <c r="C110" s="93"/>
      <c r="D110" s="156"/>
      <c r="E110" s="156"/>
      <c r="F110" s="158"/>
      <c r="G110" s="99"/>
      <c r="H110" s="97"/>
    </row>
    <row r="111" spans="1:8" ht="12.75">
      <c r="A111" s="93"/>
      <c r="B111" s="157"/>
      <c r="C111" s="93"/>
      <c r="D111" s="156"/>
      <c r="E111" s="156"/>
      <c r="F111" s="158"/>
      <c r="G111" s="99"/>
      <c r="H111" s="97"/>
    </row>
    <row r="112" spans="1:8" ht="12.75">
      <c r="A112" s="93"/>
      <c r="B112" s="157"/>
      <c r="C112" s="93"/>
      <c r="D112" s="156"/>
      <c r="E112" s="156"/>
      <c r="F112" s="158"/>
      <c r="G112" s="99"/>
      <c r="H112" s="97"/>
    </row>
    <row r="113" spans="1:8" ht="12.75">
      <c r="A113" s="93"/>
      <c r="B113" s="157"/>
      <c r="C113" s="93"/>
      <c r="D113" s="156"/>
      <c r="E113" s="156"/>
      <c r="F113" s="158"/>
      <c r="G113" s="99"/>
      <c r="H113" s="97"/>
    </row>
    <row r="114" spans="1:8" ht="12.75">
      <c r="A114" s="93"/>
      <c r="B114" s="159"/>
      <c r="C114" s="93"/>
      <c r="D114" s="156"/>
      <c r="E114" s="156"/>
      <c r="F114" s="158"/>
      <c r="G114" s="99"/>
      <c r="H114" s="97"/>
    </row>
    <row r="115" spans="1:8" ht="12.75">
      <c r="A115" s="93"/>
      <c r="B115" s="97"/>
      <c r="C115" s="93"/>
      <c r="D115" s="156"/>
      <c r="E115" s="97"/>
      <c r="F115" s="93"/>
      <c r="G115" s="99"/>
      <c r="H115" s="97"/>
    </row>
    <row r="116" spans="1:8" ht="15.75">
      <c r="A116" s="93"/>
      <c r="B116" s="160"/>
      <c r="C116" s="93"/>
      <c r="D116" s="156"/>
      <c r="E116" s="97"/>
      <c r="F116" s="93"/>
      <c r="G116" s="99"/>
      <c r="H116" s="97"/>
    </row>
    <row r="117" spans="1:8" ht="12.75">
      <c r="A117" s="93"/>
      <c r="B117" s="97"/>
      <c r="C117" s="93"/>
      <c r="D117" s="156"/>
      <c r="E117" s="97"/>
      <c r="F117" s="93"/>
      <c r="G117" s="99"/>
      <c r="H117" s="97"/>
    </row>
    <row r="118" spans="1:8" ht="12.75">
      <c r="A118" s="93"/>
      <c r="B118" s="97"/>
      <c r="C118" s="93"/>
      <c r="D118" s="97"/>
      <c r="E118" s="97"/>
      <c r="F118" s="93"/>
      <c r="G118" s="99"/>
      <c r="H118" s="9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Linah</dc:creator>
  <cp:keywords/>
  <dc:description/>
  <cp:lastModifiedBy>nlaubscher</cp:lastModifiedBy>
  <cp:lastPrinted>2011-01-14T11:10:36Z</cp:lastPrinted>
  <dcterms:created xsi:type="dcterms:W3CDTF">2004-08-24T08:49:04Z</dcterms:created>
  <dcterms:modified xsi:type="dcterms:W3CDTF">2011-01-14T11:11:05Z</dcterms:modified>
  <cp:category/>
  <cp:version/>
  <cp:contentType/>
  <cp:contentStatus/>
  <cp:revision>1</cp:revision>
</cp:coreProperties>
</file>